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7785" tabRatio="839" activeTab="1"/>
  </bookViews>
  <sheets>
    <sheet name="RETFTE ING LAB JUNIO" sheetId="1" r:id="rId1"/>
    <sheet name="TABLA RET FTE ART 383" sheetId="2" r:id="rId2"/>
    <sheet name="RETEFTE ING LAB DIC" sheetId="3" r:id="rId3"/>
    <sheet name="RESPUESTA ING LAB DIC" sheetId="4" r:id="rId4"/>
    <sheet name="LEYES SEG SOC CONTRATISTAS" sheetId="5" r:id="rId5"/>
  </sheets>
  <definedNames/>
  <calcPr fullCalcOnLoad="1"/>
</workbook>
</file>

<file path=xl/sharedStrings.xml><?xml version="1.0" encoding="utf-8"?>
<sst xmlns="http://schemas.openxmlformats.org/spreadsheetml/2006/main" count="629" uniqueCount="302">
  <si>
    <t>UVT</t>
  </si>
  <si>
    <t>en UVT</t>
  </si>
  <si>
    <t>Tarifa</t>
  </si>
  <si>
    <t xml:space="preserve">GRUPO GESTION CONSULTORES AUDITORES S.A. </t>
  </si>
  <si>
    <t>www.grupogestion.com.co</t>
  </si>
  <si>
    <t xml:space="preserve">1.3 </t>
  </si>
  <si>
    <t xml:space="preserve">RETENCION EN LA FUENTE </t>
  </si>
  <si>
    <t>Caso practico  :  Retencion en la Fuente sobre Ingresos Laborales</t>
  </si>
  <si>
    <t>ENUNCIADO :  A continuacion se presentan los valores devengados por personal ejecutivo de la empresa</t>
  </si>
  <si>
    <t xml:space="preserve">LA RETENEDORA LABORAL  EN POSTGRADO S.A, durante el mes de Junio  del año en curso, </t>
  </si>
  <si>
    <t xml:space="preserve">solicitandole a usted les haga un estudio comparativo de los efectos de la retencion en la fuente sobre ingresos </t>
  </si>
  <si>
    <t>laborales, utilizando los dos procedimientos dispuestos por la legislacion tributaria vigente, realizando el sigui -</t>
  </si>
  <si>
    <t>ente trabajo :</t>
  </si>
  <si>
    <t xml:space="preserve">1- Calcular la retencion en la fuente por ambos procedimentos sin tener en cuenta los descuentos por intereses </t>
  </si>
  <si>
    <t xml:space="preserve">     por prestamo de vivienda, los pagos por salud y educacion, y los aportes obligatorios y voluntarios del tra -</t>
  </si>
  <si>
    <t xml:space="preserve">     bajador al sistema general de pensiones .</t>
  </si>
  <si>
    <t xml:space="preserve">2- Calcular la retencion en la fuente por ambos procedimientos teniendo en cuenta los descuentos por intereses </t>
  </si>
  <si>
    <t>INFORMACION ADICIONAL :</t>
  </si>
  <si>
    <t>1- Los intereses pagados son de prestamos para vivienda del trabajador, respaldados con hipoteca y el traba-</t>
  </si>
  <si>
    <t xml:space="preserve">    jador es el unico beneficiario.</t>
  </si>
  <si>
    <t xml:space="preserve">2- Los pagos por salud y educacion fueron cancelados 100% por el trabajador, benefician a sus respectivos </t>
  </si>
  <si>
    <t xml:space="preserve">    conyuges e hijos, corresponden a pagos realizados a entidades de medicina prepagada vigiladas por la </t>
  </si>
  <si>
    <t xml:space="preserve">   Supersalud, y a entidades de educacion superior vigiladas por el Icfes, por matriculas y pensiones.</t>
  </si>
  <si>
    <t>3- Los sueldos indicados se pagan asi : 50% el 15 y 50% el 30 del mes de Junio</t>
  </si>
  <si>
    <t>4- Las bonificaciones s/utilidades, prima legal y bonificaciones ocasionales se pagan en Junio 15</t>
  </si>
  <si>
    <t>5- Las cesantias se pagan en Junio 20</t>
  </si>
  <si>
    <t>6- Los demas devengos se pagan en Junio 30</t>
  </si>
  <si>
    <t>7- Los sueldos del año en curso se aumentaron en un 18% con relacion al año anterior .</t>
  </si>
  <si>
    <t>CONCEPTOS</t>
  </si>
  <si>
    <t xml:space="preserve">GERENTE </t>
  </si>
  <si>
    <t>GERENTE</t>
  </si>
  <si>
    <t>GENERAL</t>
  </si>
  <si>
    <t>VENTAS</t>
  </si>
  <si>
    <t>FINANCIER</t>
  </si>
  <si>
    <t>PRODUCC</t>
  </si>
  <si>
    <t>ADMTIVO</t>
  </si>
  <si>
    <t>Sueldos</t>
  </si>
  <si>
    <t>Bonifcac.s/utilidades</t>
  </si>
  <si>
    <t>Bonificacion s/ventas</t>
  </si>
  <si>
    <t>Bonificacion s/rendimto</t>
  </si>
  <si>
    <t>Prima Legal</t>
  </si>
  <si>
    <t>Cesantias</t>
  </si>
  <si>
    <t>Interes s/cesantias</t>
  </si>
  <si>
    <t>Indem.desp.injustificad.</t>
  </si>
  <si>
    <t>Bonificac.retiro volunt.</t>
  </si>
  <si>
    <t>Bonificacion ocasional</t>
  </si>
  <si>
    <t>Vacaciones</t>
  </si>
  <si>
    <t>Indem.acc.trab.enferm.</t>
  </si>
  <si>
    <t>Indem.protecc.mater.</t>
  </si>
  <si>
    <t xml:space="preserve">TOTALES  </t>
  </si>
  <si>
    <t>Ahorro ctas AFC</t>
  </si>
  <si>
    <t>Fondo solidarid.pens.</t>
  </si>
  <si>
    <t xml:space="preserve">CONCEPTOS </t>
  </si>
  <si>
    <t>Bonificac.s/utilidades</t>
  </si>
  <si>
    <t>Comisiones</t>
  </si>
  <si>
    <t>Prima legal</t>
  </si>
  <si>
    <t xml:space="preserve">TOTALES </t>
  </si>
  <si>
    <t>Fondo solidarid.pens</t>
  </si>
  <si>
    <t>ACUMULADOS DE NOMINA DE JUN /2.009 A MAY /2010 :</t>
  </si>
  <si>
    <t>FINANCIERO</t>
  </si>
  <si>
    <t>Bonifcacion s/ventas</t>
  </si>
  <si>
    <t>TOTALES</t>
  </si>
  <si>
    <t>Intereses s/cesantias</t>
  </si>
  <si>
    <t>Indem.protecc.matern.</t>
  </si>
  <si>
    <t>INFORMACION COMPLEMENTARIA :</t>
  </si>
  <si>
    <t xml:space="preserve">Intereses prestamo de </t>
  </si>
  <si>
    <t>Gastos por salud y</t>
  </si>
  <si>
    <t>Salud obligatoria EPS</t>
  </si>
  <si>
    <t>vivienda año 2009</t>
  </si>
  <si>
    <t>educacion año 2.009</t>
  </si>
  <si>
    <t xml:space="preserve">    vos conyuges e hijos, corresponden a pagos realizados a entidades de medicina prepagada vigiladas </t>
  </si>
  <si>
    <t>3- Los sueldos indicados se pagan asi : 50% el 15 y 50% el 30 del mes de Diciembre</t>
  </si>
  <si>
    <t>5- Las cesantias se pagan en Diciembre 20</t>
  </si>
  <si>
    <t>ENUNCIADO :</t>
  </si>
  <si>
    <t>FINANCIE</t>
  </si>
  <si>
    <t>Subtotal</t>
  </si>
  <si>
    <t>Aporte salud obligatoria</t>
  </si>
  <si>
    <t>VALORES DEVENGADOS EN JUNIO DEL 2.011 :</t>
  </si>
  <si>
    <t xml:space="preserve">Material preparado por : GILDARDO HOYOS GIRALDO  </t>
  </si>
  <si>
    <t>ACUMULADOS DE NOMINA DE DIC /2.009 A NOV /2.010</t>
  </si>
  <si>
    <t xml:space="preserve">CONCEPTOS  </t>
  </si>
  <si>
    <t>ACUMULADOS DE NOMINA DE ENE/2.010 A DIC/ 2.010 :</t>
  </si>
  <si>
    <t>vivienda año 2010</t>
  </si>
  <si>
    <t>educacion año 2.010</t>
  </si>
  <si>
    <t>ACUMULADOS  DE  NOMINA  DE  ENE / 2.009 A DIC / 2.009</t>
  </si>
  <si>
    <t>Aporte oblig fdo pension</t>
  </si>
  <si>
    <t>Aporte volun fdo pension</t>
  </si>
  <si>
    <t>8- Los dineros en las cuentas de ahorro para el fomento de la construccion no han tenido retiros parciales.</t>
  </si>
  <si>
    <t>Aporte obligatorio salud</t>
  </si>
  <si>
    <t>Rangos</t>
  </si>
  <si>
    <t xml:space="preserve">GRUPO GESTION CONSULTORES AUDITORES S.A. Preparado por : GILDARDO HOYOS GIRALDO </t>
  </si>
  <si>
    <t>Bonifcac.s/utilidad y vtas</t>
  </si>
  <si>
    <t xml:space="preserve">Aporte salud obligatoria </t>
  </si>
  <si>
    <t>Saldos cuentas AFC</t>
  </si>
  <si>
    <t xml:space="preserve">AFILIACION Y PAGO DE APORTES AL SISTEMA DE PROTECCION SOCIAL </t>
  </si>
  <si>
    <t>POR PARTE DE CONTRATISTAS INDEPENDIENTES</t>
  </si>
  <si>
    <t>1.1</t>
  </si>
  <si>
    <t>Ley 1393 de 2010</t>
  </si>
  <si>
    <t>art 26</t>
  </si>
  <si>
    <t xml:space="preserve">en la celebracion y cumplimiento de las obligaciones derivadas de Contratos de Prestacion de Servicios </t>
  </si>
  <si>
    <t xml:space="preserve">Obligacion del contratante de verificar la afiliacion y pago de los aportes al sistema de proteccion social </t>
  </si>
  <si>
    <t>art 27</t>
  </si>
  <si>
    <t>1- Normatividad legal vigente :</t>
  </si>
  <si>
    <t xml:space="preserve">Para la procedencia de la deduccion por pagos a trabajadores independientes, el contratante debera </t>
  </si>
  <si>
    <t xml:space="preserve">verificar la afiliacion y el pago de las cotizaciones y aportes a la proteccion social que le corresponda </t>
  </si>
  <si>
    <t>al contratista según la ley.</t>
  </si>
  <si>
    <t>1.2</t>
  </si>
  <si>
    <t>Sentencia Consejo de Estado de Agosto 19 de 2004</t>
  </si>
  <si>
    <t xml:space="preserve">Determino que en aras de la igualdad, en salud el trabajador independiente no puede cotizar sobre una base inferior </t>
  </si>
  <si>
    <t>a 1 SMLMV,</t>
  </si>
  <si>
    <t>modificandose asi la base minima que existia para el efecto, la cual era de 2 SMLMV</t>
  </si>
  <si>
    <t>Para el caso de salud :</t>
  </si>
  <si>
    <t>Decreto 1703 de 2002</t>
  </si>
  <si>
    <t>Art 23</t>
  </si>
  <si>
    <t>En los casos de contratos de prestacion de servicios, el contratista esta obligado a cotizar en salud.</t>
  </si>
  <si>
    <t>1.4</t>
  </si>
  <si>
    <t>Decreto 3615 de 2005</t>
  </si>
  <si>
    <t xml:space="preserve">Modificado por </t>
  </si>
  <si>
    <t>Decreto 2313 de 2006 y</t>
  </si>
  <si>
    <t>Decreto 2172 de 2009</t>
  </si>
  <si>
    <t xml:space="preserve">Establece que en materia de Riesgos Profesionales, la afiliacion de un Trabajador Independiente a una Administradora </t>
  </si>
  <si>
    <t xml:space="preserve">de Riesgos Profesionales ARP, ha sido establecida como voluntaria, </t>
  </si>
  <si>
    <t>caso en el cual el Independiente puede afiliarse a traves de las agremiaciones o asociaciones autorizadas por la ley.</t>
  </si>
  <si>
    <t>Primera conclusion :</t>
  </si>
  <si>
    <t xml:space="preserve">En materia de Aportes a la Seguridad Social del Trabajador Independiente por regla general debe cotizar en </t>
  </si>
  <si>
    <t xml:space="preserve">Salud y Pensiones </t>
  </si>
  <si>
    <t>Determina que el total de lo pagado en salud obligatoria es deducible de la declaracion de renta de la PN</t>
  </si>
  <si>
    <t xml:space="preserve">1.5 </t>
  </si>
  <si>
    <t>Decreto 3085 de 2007</t>
  </si>
  <si>
    <t>que rreglamenta parcialmente el art 44 de la Ley 1122 de 2007</t>
  </si>
  <si>
    <t xml:space="preserve">Indica que todos los Trabajadores Independientes deben declarar anualmente sus ingresos  </t>
  </si>
  <si>
    <t>a mas tardar en el mes de Febrero de cada ano.</t>
  </si>
  <si>
    <t xml:space="preserve">Por lo tanto, el Trabajador Independiente debe cotizar obligatoriamente en Salud y Pensiones  </t>
  </si>
  <si>
    <t>sobre los ingresos que declare ante la EPS y la Administradora de Pensiones, con base en el siguiente monto :</t>
  </si>
  <si>
    <t xml:space="preserve">Salud </t>
  </si>
  <si>
    <t xml:space="preserve">Pensiones </t>
  </si>
  <si>
    <t>art 10 Ley 1122 de 2007</t>
  </si>
  <si>
    <t>art 20 Ley 797 de 2003</t>
  </si>
  <si>
    <t>IMPORTANTE :</t>
  </si>
  <si>
    <t xml:space="preserve">Excepcion a la regla general de que el Trabajador Independiente debe cotizar </t>
  </si>
  <si>
    <t>en forma OBLIGATORIA Y SIMULTANEA a Salud y Pensiones</t>
  </si>
  <si>
    <t>art 19 Ley 100 de 1993</t>
  </si>
  <si>
    <t>modificado por art 6 Ley 797 de 2003</t>
  </si>
  <si>
    <t>adicionado por art 2 Ley 1250 de 2008</t>
  </si>
  <si>
    <t>Dispone que los Trabajadores Independientes, cuyos ingresos mensuales sean inferiores a 1 SMLMV</t>
  </si>
  <si>
    <t xml:space="preserve">que registren dicho ingreso conforme al procedimiento establecido por el Decreto 3085 de 2007 </t>
  </si>
  <si>
    <t xml:space="preserve">No estaran obligados a cotizar al Sistema General de Pensiones, por los tres ( 3 ) anos siguientes a </t>
  </si>
  <si>
    <t>la entrada en vigencia de la Ley 1250 de 2008, sin perjuicio que puedan cotizar a pensiones voluntariamente .</t>
  </si>
  <si>
    <t>Segunda conclusion :</t>
  </si>
  <si>
    <t xml:space="preserve">Frente a la regla general de cotizar en forma obligatoria y simultanea a Salud y Pensiones, </t>
  </si>
  <si>
    <t>existe la excepcion mencionada antes,</t>
  </si>
  <si>
    <t>la cual es aplicable en la medida que como Trabajador Independiente pueda acreditar la percepcion de un ingreso</t>
  </si>
  <si>
    <t xml:space="preserve">igual o inferior a 1 SMLMV, </t>
  </si>
  <si>
    <t xml:space="preserve">caso en el cual debera el Trabajador Independiente manifestar el valor de su ingreso mensual </t>
  </si>
  <si>
    <t>mediante declaracion rendida ante notario, entre otros requisitos,</t>
  </si>
  <si>
    <t>los cuales deben ser acreditados ante la EPS conforme a lo indicado en art 3 Decreto 3085 de 2007</t>
  </si>
  <si>
    <t xml:space="preserve">Base de cotizacion acutal para Trabajadores Independientes o Contratistas por la prestacion de servicios </t>
  </si>
  <si>
    <t xml:space="preserve">Es la establecida por la Circular Conjunta No. 0001 de 2004  </t>
  </si>
  <si>
    <t>expedida por los Ministerios de Proteccion Social y Hacienda y Credito Publico</t>
  </si>
  <si>
    <t xml:space="preserve">40% del valor bruto del contrato facturado en forma mensualizada </t>
  </si>
  <si>
    <t xml:space="preserve">GRUPO GESTION CONSULTORES AUDITORES S.A.   Preparado por : GILDARDO HOYOS GIRALDO </t>
  </si>
  <si>
    <t xml:space="preserve">Determinación ó Comprobación de los Factores Depuración de la </t>
  </si>
  <si>
    <t xml:space="preserve">Base de Retefuente de las PNEmpleados </t>
  </si>
  <si>
    <t xml:space="preserve">cuyos ing NO provengan de relación laboral, legal ó reglamtaria </t>
  </si>
  <si>
    <t>Esta comprobación se hara con base en :</t>
  </si>
  <si>
    <t xml:space="preserve">1- Los soportes que adjunte la PNEmpleado a </t>
  </si>
  <si>
    <t xml:space="preserve">    la factura o docmto equivalente</t>
  </si>
  <si>
    <t xml:space="preserve">2- Ó el docmto expedido por PN no obligadas a facturar </t>
  </si>
  <si>
    <t>Inc 3 art 771-2</t>
  </si>
  <si>
    <t>3- Para la deducción por intereses de vivienda ó salud,</t>
  </si>
  <si>
    <t xml:space="preserve">    los docmtos se deben presentar antes de Abril 15 de cada año </t>
  </si>
  <si>
    <t xml:space="preserve">    art 7 DR 4713/05</t>
  </si>
  <si>
    <t>4- Para la deducción por intereses de vivienda, que no corresponden a</t>
  </si>
  <si>
    <t xml:space="preserve">    un año, la deducción es proporcional </t>
  </si>
  <si>
    <t>art 7 DR 3750/86</t>
  </si>
  <si>
    <t>5- Para la deducción por Contribuciones al SGSS</t>
  </si>
  <si>
    <t xml:space="preserve">    s/ art 26 Ley 1393/10 y     art 108 ET</t>
  </si>
  <si>
    <t xml:space="preserve">    comprobar su pago en debida forma ( deducción en renta ) y</t>
  </si>
  <si>
    <t xml:space="preserve">    adjuntar copia de la planilla ó documento de pago </t>
  </si>
  <si>
    <t xml:space="preserve">6- Para la deducción por Dependientes </t>
  </si>
  <si>
    <t xml:space="preserve">    la discapacidad originada en factores físicos ó psicológicos </t>
  </si>
  <si>
    <t xml:space="preserve">    será certificada por Instituto Nal Medicina Legal y Ciencias Forenses</t>
  </si>
  <si>
    <t xml:space="preserve">    ó también por </t>
  </si>
  <si>
    <t xml:space="preserve">    Empresas Administradoras de Salud</t>
  </si>
  <si>
    <t xml:space="preserve">    ó cualquier otra entidad que legalmente sea competente</t>
  </si>
  <si>
    <t xml:space="preserve">NOTA : Los TI no tienen derecho a deduccion por dependientes </t>
  </si>
  <si>
    <t xml:space="preserve">Tarifa </t>
  </si>
  <si>
    <t xml:space="preserve">CASO </t>
  </si>
  <si>
    <t>PRACTICO :</t>
  </si>
  <si>
    <t>en Diciembre de este año, solicitandole a usted les haga un estudio comparativo de los efectos de la retención</t>
  </si>
  <si>
    <t>en la fuente, utilizando los dos procedimientos dispuestos por la ley, para la utilización de la tabla del art 383</t>
  </si>
  <si>
    <t>del ET y comparándola con el cálculo de la retención en la fuente mínima de la tabla del art 384 del ET .</t>
  </si>
  <si>
    <t>Por lo tanto usted deberá realizar el siguiente trabajo :</t>
  </si>
  <si>
    <t xml:space="preserve">1- Calcular la retención en la fuente por ambos procedimientos, teniendo en cuenta los descuentos por </t>
  </si>
  <si>
    <t xml:space="preserve">2- Calcular la retención en la fuente mínima establecida por la Ley 1607/12, con la aplicación de la tabla del </t>
  </si>
  <si>
    <t xml:space="preserve">     art 384 del ET, teniendo en cuenta los descuentos por aportes al Sistema General de Seguridad Social</t>
  </si>
  <si>
    <t>Valores devengados en Diciembre de 2.013 :</t>
  </si>
  <si>
    <t>Acumulados de nomina de Jun/12 a May/13</t>
  </si>
  <si>
    <t>Acumulados de nomina de Dic /12 a Nov/13 :</t>
  </si>
  <si>
    <t>Acumulados de nomina de Ene/12 a Dic/12 :</t>
  </si>
  <si>
    <t>Acumulados de nomina de Ene/11 a Dic/11 :</t>
  </si>
  <si>
    <t xml:space="preserve">1- Los intereses se deben a préstamos para vivienda del trabajador, respaldados con hipoteca y el </t>
  </si>
  <si>
    <t xml:space="preserve">    trabajador es el único beneficiario.</t>
  </si>
  <si>
    <t>2- Los pagos por salud y dependientes  fueron cancelados 100% por el trabajador, benefician a sus respecti-</t>
  </si>
  <si>
    <t xml:space="preserve">    por la Supersalud, y a entidades aseguradoras vigiladas por la Superfinanciera .</t>
  </si>
  <si>
    <t>4- Las bonificaciones sobre utilidades, las ocasionales y, la prima legal se pagan en Diciembre 15</t>
  </si>
  <si>
    <t>6- Los demás devengos se pagan en Diciembre 30</t>
  </si>
  <si>
    <t>7- Los sueldos del año en curso se aumentaron en un 18% con relación al año anterior .</t>
  </si>
  <si>
    <t>Apor.volunt.fdo pension</t>
  </si>
  <si>
    <t>Apor.oblig.fdo pension</t>
  </si>
  <si>
    <t>Indem.desp.injustificado</t>
  </si>
  <si>
    <t>Bonificac.retiro voluntario</t>
  </si>
  <si>
    <t>Bonificación ocasional</t>
  </si>
  <si>
    <t>Indem.acc.trab.enfermed.</t>
  </si>
  <si>
    <t>Indem.protecc.maternid.</t>
  </si>
  <si>
    <t>Fondo solidarid.pension</t>
  </si>
  <si>
    <t>Fondo solidarid.pension.</t>
  </si>
  <si>
    <t>Gtos medic prepag 2011</t>
  </si>
  <si>
    <t>Gtos medic prepag 2012</t>
  </si>
  <si>
    <t xml:space="preserve">Dependientes </t>
  </si>
  <si>
    <t>El Conyugue, su señora madre más tres hijos .</t>
  </si>
  <si>
    <t>Información adicional anual :</t>
  </si>
  <si>
    <t>Intereses vivienda 2011 y</t>
  </si>
  <si>
    <t>Intereses vivienda 2012 y</t>
  </si>
  <si>
    <t>Indem.despid.injustificad</t>
  </si>
  <si>
    <t>Indem.acc.trab.enfermed</t>
  </si>
  <si>
    <t>Indem.protecc.maternid</t>
  </si>
  <si>
    <t xml:space="preserve">CALCULO RETENCION FUENTE INGRESOS LABORALES </t>
  </si>
  <si>
    <t>SEGÚN TABLA  ART 383  ET</t>
  </si>
  <si>
    <t>Más</t>
  </si>
  <si>
    <t>Total</t>
  </si>
  <si>
    <t xml:space="preserve"> UVT</t>
  </si>
  <si>
    <t>Total en $$</t>
  </si>
  <si>
    <t>en</t>
  </si>
  <si>
    <t>adelante</t>
  </si>
  <si>
    <t>Base Retfte</t>
  </si>
  <si>
    <t>Por</t>
  </si>
  <si>
    <t xml:space="preserve">GRUPO GESTION CONSULTORES AUDITORES S.A.           Preparado por : GILDARDO HOYOS GIRALDO </t>
  </si>
  <si>
    <t>art 385 ET y DR 3750/86</t>
  </si>
  <si>
    <t xml:space="preserve">Total pagos laborales recibidos en el mes </t>
  </si>
  <si>
    <t xml:space="preserve">Menos : Deducciones </t>
  </si>
  <si>
    <t xml:space="preserve">Menos : Rentas exentas </t>
  </si>
  <si>
    <t xml:space="preserve">Menos : Otras rentas exentas </t>
  </si>
  <si>
    <t xml:space="preserve">Subtotal </t>
  </si>
  <si>
    <t xml:space="preserve">Menos 25% del ingreso laboral exento </t>
  </si>
  <si>
    <t xml:space="preserve">Base de retención </t>
  </si>
  <si>
    <t xml:space="preserve">Valor de la retención en la fuente </t>
  </si>
  <si>
    <t>Base de retención</t>
  </si>
  <si>
    <t>art 386 ET y DR 3750/86</t>
  </si>
  <si>
    <t xml:space="preserve">Ingreso mensual promedio </t>
  </si>
  <si>
    <t>Porcentaje fijo de retención en la fuente</t>
  </si>
  <si>
    <t>Valor de la retención en la fuente</t>
  </si>
  <si>
    <t xml:space="preserve">Formato determinación retefuente ing laborales P1 : </t>
  </si>
  <si>
    <t xml:space="preserve">Menos : Cesantias e intereses s/cesantias </t>
  </si>
  <si>
    <t xml:space="preserve">Menos : Primas </t>
  </si>
  <si>
    <t xml:space="preserve">Intereses x préstamo vivienda </t>
  </si>
  <si>
    <t xml:space="preserve">Salud obligatoria </t>
  </si>
  <si>
    <t>Saldo cuentas AFC</t>
  </si>
  <si>
    <t xml:space="preserve">Indemnzac accidente trabajo </t>
  </si>
  <si>
    <t>$$$</t>
  </si>
  <si>
    <t xml:space="preserve">Formato determinación retefuente ing laborales P2 : </t>
  </si>
  <si>
    <t>Tot pagos laborales recibidos en 12 meses anteriores</t>
  </si>
  <si>
    <t>Medicina prepagada</t>
  </si>
  <si>
    <t>$$$$</t>
  </si>
  <si>
    <t xml:space="preserve">Primas </t>
  </si>
  <si>
    <t>Resumen retencion en la fuente :</t>
  </si>
  <si>
    <t xml:space="preserve">Por Ingresos laborales recibidos en el mes </t>
  </si>
  <si>
    <t>Por Primas</t>
  </si>
  <si>
    <t>Total retefuente por  P1</t>
  </si>
  <si>
    <t xml:space="preserve">Formato determinación retefuente MINIMA ing laborales  </t>
  </si>
  <si>
    <t>art 384 ET y DR 0099/13 y DR 1070/13</t>
  </si>
  <si>
    <t xml:space="preserve">Retefte en UVT según intervalo de la tabla </t>
  </si>
  <si>
    <t>27% * PM</t>
  </si>
  <si>
    <t>Menos</t>
  </si>
  <si>
    <t>Procedimiento 1</t>
  </si>
  <si>
    <t>Procedimiento 2</t>
  </si>
  <si>
    <t xml:space="preserve">Retefte Mínima </t>
  </si>
  <si>
    <t>El monto del aporte debe calcularse sobre el ingreso base de cotizacion</t>
  </si>
  <si>
    <t>el  cual no puede ser inferior a 1 SMLMV ni superior a 25 SMLMV</t>
  </si>
  <si>
    <t xml:space="preserve">pertenezcan o NO a la categoría de empleados </t>
  </si>
  <si>
    <t>art 2, 3, 4 y 5 DR 1070/13</t>
  </si>
  <si>
    <t xml:space="preserve">INGRESOS  LABORALES </t>
  </si>
  <si>
    <t xml:space="preserve">RETENCION EN LA FUENTE SOBRE </t>
  </si>
  <si>
    <t xml:space="preserve">     intereses por préstamo de vivienda ó costo de leasing habitacional, los pagos por salud, dependientes y</t>
  </si>
  <si>
    <t xml:space="preserve">     los aportes obligatorios y voluntarios a los fondos de pensiones .</t>
  </si>
  <si>
    <t xml:space="preserve">GRUPO GESTION CONSULTORES AUDITORES SA.. </t>
  </si>
  <si>
    <t xml:space="preserve">GRUPO GESTION CONSULTORES AUDITORES S.A.         Preparado por : GILDARDO HOYOS GIRALDO </t>
  </si>
  <si>
    <t>A continuación se presentan los valores devengados por el personal eje-</t>
  </si>
  <si>
    <r>
      <t xml:space="preserve">cutivo de  la  empresa </t>
    </r>
    <r>
      <rPr>
        <b/>
        <sz val="12"/>
        <rFont val="Times New Roman"/>
        <family val="1"/>
      </rPr>
      <t>LA RETENEDORA EN POSTGRADO S.A.,</t>
    </r>
  </si>
  <si>
    <t xml:space="preserve">Indemnzación accidente trabajo </t>
  </si>
  <si>
    <t>Subtotal base p/ 25% exento</t>
  </si>
  <si>
    <t>Menos : Aportes al Sistema General de Seguridad Social SGSS</t>
  </si>
  <si>
    <t>Aportes voluntarios Fondos Pension</t>
  </si>
  <si>
    <t>Aportes obligatorios Fondos Pension</t>
  </si>
  <si>
    <t xml:space="preserve">Aportes Fondo Solidaridad Pensional </t>
  </si>
  <si>
    <t>Tope 100 UVT por mes</t>
  </si>
  <si>
    <t xml:space="preserve">Tope 16 UVT por mes </t>
  </si>
  <si>
    <t>Tope 32 UVT por mes</t>
  </si>
  <si>
    <t>Tope 240 UVT por mes</t>
  </si>
  <si>
    <t>Tope 30% del ingreso</t>
  </si>
  <si>
    <t>laboral</t>
  </si>
  <si>
    <t xml:space="preserve">Tope 100% vr pagado 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</si>
</sst>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"/>
    <numFmt numFmtId="193" formatCode="0.0%"/>
    <numFmt numFmtId="194" formatCode="0.000%"/>
    <numFmt numFmtId="195" formatCode="0.000"/>
    <numFmt numFmtId="196" formatCode="0.0"/>
  </numFmts>
  <fonts count="74">
    <font>
      <sz val="10"/>
      <name val="Arial"/>
      <family val="0"/>
    </font>
    <font>
      <sz val="2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Times New Roman"/>
      <family val="1"/>
    </font>
    <font>
      <b/>
      <sz val="12"/>
      <color indexed="17"/>
      <name val="Times New Roman"/>
      <family val="1"/>
    </font>
    <font>
      <sz val="12"/>
      <color indexed="9"/>
      <name val="Times New Roman"/>
      <family val="1"/>
    </font>
    <font>
      <sz val="12"/>
      <color indexed="63"/>
      <name val="Times New Roman"/>
      <family val="1"/>
    </font>
    <font>
      <b/>
      <u val="single"/>
      <sz val="10"/>
      <color indexed="12"/>
      <name val="Arial"/>
      <family val="2"/>
    </font>
    <font>
      <b/>
      <sz val="12"/>
      <color indexed="9"/>
      <name val="Times New Roman"/>
      <family val="1"/>
    </font>
    <font>
      <b/>
      <sz val="18"/>
      <color indexed="17"/>
      <name val="Times New Roman"/>
      <family val="1"/>
    </font>
    <font>
      <b/>
      <sz val="2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20"/>
      <color indexed="17"/>
      <name val="Times New Roman"/>
      <family val="1"/>
    </font>
    <font>
      <b/>
      <sz val="18"/>
      <color indexed="9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9"/>
      <name val="Times New Roman"/>
      <family val="1"/>
    </font>
    <font>
      <b/>
      <sz val="2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Times New Roman"/>
      <family val="1"/>
    </font>
    <font>
      <b/>
      <sz val="12"/>
      <color rgb="FF00800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8"/>
      <color rgb="FF008000"/>
      <name val="Times New Roman"/>
      <family val="1"/>
    </font>
    <font>
      <sz val="12"/>
      <color theme="1" tint="0.15000000596046448"/>
      <name val="Times New Roman"/>
      <family val="1"/>
    </font>
    <font>
      <b/>
      <u val="single"/>
      <sz val="10"/>
      <color theme="10"/>
      <name val="Arial"/>
      <family val="2"/>
    </font>
    <font>
      <b/>
      <sz val="20"/>
      <color theme="0"/>
      <name val="Times New Roman"/>
      <family val="1"/>
    </font>
    <font>
      <b/>
      <sz val="18"/>
      <color theme="0"/>
      <name val="Times New Roman"/>
      <family val="1"/>
    </font>
    <font>
      <b/>
      <sz val="14"/>
      <color rgb="FF0033CC"/>
      <name val="Times New Roman"/>
      <family val="1"/>
    </font>
    <font>
      <b/>
      <sz val="10"/>
      <color theme="0"/>
      <name val="Times New Roman"/>
      <family val="1"/>
    </font>
    <font>
      <b/>
      <sz val="20"/>
      <color rgb="FF008000"/>
      <name val="Times New Roman"/>
      <family val="1"/>
    </font>
    <font>
      <b/>
      <sz val="14"/>
      <color theme="0"/>
      <name val="Times New Roman"/>
      <family val="1"/>
    </font>
    <font>
      <b/>
      <sz val="24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66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10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0" fontId="7" fillId="0" borderId="0" xfId="0" applyNumberFormat="1" applyFont="1" applyAlignment="1">
      <alignment/>
    </xf>
    <xf numFmtId="0" fontId="60" fillId="0" borderId="0" xfId="0" applyFont="1" applyAlignment="1">
      <alignment/>
    </xf>
    <xf numFmtId="3" fontId="61" fillId="0" borderId="0" xfId="0" applyNumberFormat="1" applyFont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2" fillId="0" borderId="1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9" fontId="2" fillId="0" borderId="0" xfId="53" applyFont="1" applyBorder="1" applyAlignment="1">
      <alignment/>
    </xf>
    <xf numFmtId="3" fontId="2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2" fillId="0" borderId="0" xfId="0" applyNumberFormat="1" applyFont="1" applyFill="1" applyAlignment="1">
      <alignment/>
    </xf>
    <xf numFmtId="3" fontId="3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6" fillId="33" borderId="15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3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0" fontId="2" fillId="0" borderId="20" xfId="53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0" fontId="2" fillId="0" borderId="0" xfId="53" applyNumberFormat="1" applyFont="1" applyAlignment="1">
      <alignment horizontal="center"/>
    </xf>
    <xf numFmtId="9" fontId="1" fillId="0" borderId="0" xfId="53" applyFont="1" applyAlignment="1">
      <alignment/>
    </xf>
    <xf numFmtId="3" fontId="3" fillId="0" borderId="0" xfId="0" applyNumberFormat="1" applyFont="1" applyAlignment="1">
      <alignment horizontal="center"/>
    </xf>
    <xf numFmtId="3" fontId="63" fillId="34" borderId="0" xfId="0" applyNumberFormat="1" applyFont="1" applyFill="1" applyAlignment="1">
      <alignment horizontal="center"/>
    </xf>
    <xf numFmtId="3" fontId="64" fillId="0" borderId="0" xfId="0" applyNumberFormat="1" applyFont="1" applyAlignment="1">
      <alignment horizontal="center"/>
    </xf>
    <xf numFmtId="3" fontId="65" fillId="0" borderId="0" xfId="0" applyNumberFormat="1" applyFont="1" applyAlignment="1">
      <alignment horizontal="center"/>
    </xf>
    <xf numFmtId="3" fontId="66" fillId="0" borderId="0" xfId="45" applyNumberFormat="1" applyFont="1" applyAlignment="1" applyProtection="1">
      <alignment horizontal="center"/>
      <protection/>
    </xf>
    <xf numFmtId="3" fontId="67" fillId="35" borderId="15" xfId="0" applyNumberFormat="1" applyFont="1" applyFill="1" applyBorder="1" applyAlignment="1">
      <alignment horizontal="center"/>
    </xf>
    <xf numFmtId="3" fontId="67" fillId="35" borderId="18" xfId="0" applyNumberFormat="1" applyFont="1" applyFill="1" applyBorder="1" applyAlignment="1">
      <alignment horizontal="center"/>
    </xf>
    <xf numFmtId="3" fontId="67" fillId="35" borderId="16" xfId="0" applyNumberFormat="1" applyFont="1" applyFill="1" applyBorder="1" applyAlignment="1">
      <alignment horizontal="center"/>
    </xf>
    <xf numFmtId="3" fontId="67" fillId="35" borderId="11" xfId="0" applyNumberFormat="1" applyFont="1" applyFill="1" applyBorder="1" applyAlignment="1">
      <alignment horizontal="center"/>
    </xf>
    <xf numFmtId="3" fontId="67" fillId="35" borderId="12" xfId="0" applyNumberFormat="1" applyFont="1" applyFill="1" applyBorder="1" applyAlignment="1">
      <alignment horizontal="center"/>
    </xf>
    <xf numFmtId="3" fontId="67" fillId="35" borderId="13" xfId="0" applyNumberFormat="1" applyFont="1" applyFill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68" fillId="36" borderId="0" xfId="0" applyNumberFormat="1" applyFont="1" applyFill="1" applyAlignment="1">
      <alignment horizontal="center"/>
    </xf>
    <xf numFmtId="3" fontId="69" fillId="0" borderId="22" xfId="0" applyNumberFormat="1" applyFont="1" applyBorder="1" applyAlignment="1">
      <alignment horizontal="center"/>
    </xf>
    <xf numFmtId="3" fontId="69" fillId="0" borderId="23" xfId="0" applyNumberFormat="1" applyFont="1" applyBorder="1" applyAlignment="1">
      <alignment horizontal="center"/>
    </xf>
    <xf numFmtId="3" fontId="69" fillId="0" borderId="15" xfId="0" applyNumberFormat="1" applyFont="1" applyBorder="1" applyAlignment="1">
      <alignment horizontal="center"/>
    </xf>
    <xf numFmtId="3" fontId="69" fillId="0" borderId="16" xfId="0" applyNumberFormat="1" applyFont="1" applyBorder="1" applyAlignment="1">
      <alignment horizontal="center"/>
    </xf>
    <xf numFmtId="3" fontId="69" fillId="0" borderId="11" xfId="0" applyNumberFormat="1" applyFont="1" applyBorder="1" applyAlignment="1">
      <alignment horizontal="center"/>
    </xf>
    <xf numFmtId="3" fontId="69" fillId="0" borderId="13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70" fillId="36" borderId="0" xfId="0" applyNumberFormat="1" applyFont="1" applyFill="1" applyAlignment="1">
      <alignment horizontal="center"/>
    </xf>
    <xf numFmtId="3" fontId="71" fillId="0" borderId="0" xfId="0" applyNumberFormat="1" applyFont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7" fillId="37" borderId="0" xfId="0" applyNumberFormat="1" applyFont="1" applyFill="1" applyAlignment="1">
      <alignment horizontal="center"/>
    </xf>
    <xf numFmtId="3" fontId="9" fillId="33" borderId="0" xfId="0" applyNumberFormat="1" applyFont="1" applyFill="1" applyAlignment="1">
      <alignment horizontal="center"/>
    </xf>
    <xf numFmtId="3" fontId="67" fillId="38" borderId="0" xfId="0" applyNumberFormat="1" applyFont="1" applyFill="1" applyAlignment="1">
      <alignment horizontal="center"/>
    </xf>
    <xf numFmtId="3" fontId="2" fillId="33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2" fillId="34" borderId="0" xfId="0" applyFont="1" applyFill="1" applyAlignment="1">
      <alignment horizontal="center"/>
    </xf>
    <xf numFmtId="0" fontId="73" fillId="37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upogestion.com.co/" TargetMode="External" /><Relationship Id="rId2" Type="http://schemas.openxmlformats.org/officeDocument/2006/relationships/hyperlink" Target="http://www.grupogestion.com.co/" TargetMode="External" /><Relationship Id="rId3" Type="http://schemas.openxmlformats.org/officeDocument/2006/relationships/hyperlink" Target="http://www.grupogestion.com.co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4:G185"/>
  <sheetViews>
    <sheetView zoomScalePageLayoutView="0" workbookViewId="0" topLeftCell="A33">
      <selection activeCell="J53" sqref="J53"/>
    </sheetView>
  </sheetViews>
  <sheetFormatPr defaultColWidth="11.421875" defaultRowHeight="12.75"/>
  <cols>
    <col min="1" max="2" width="11.421875" style="5" customWidth="1"/>
    <col min="3" max="3" width="14.00390625" style="5" customWidth="1"/>
    <col min="4" max="4" width="14.140625" style="5" customWidth="1"/>
    <col min="5" max="5" width="14.421875" style="5" customWidth="1"/>
    <col min="6" max="6" width="13.57421875" style="5" customWidth="1"/>
    <col min="7" max="7" width="17.140625" style="5" customWidth="1"/>
    <col min="8" max="16384" width="11.421875" style="5" customWidth="1"/>
  </cols>
  <sheetData>
    <row r="4" spans="1:7" ht="22.5">
      <c r="A4" s="60" t="s">
        <v>6</v>
      </c>
      <c r="B4" s="60"/>
      <c r="C4" s="60"/>
      <c r="D4" s="60"/>
      <c r="E4" s="60"/>
      <c r="F4" s="60"/>
      <c r="G4" s="60"/>
    </row>
    <row r="7" ht="18.75">
      <c r="A7" s="11" t="s">
        <v>7</v>
      </c>
    </row>
    <row r="9" ht="15.75">
      <c r="A9" s="5" t="s">
        <v>8</v>
      </c>
    </row>
    <row r="10" ht="15.75">
      <c r="A10" s="5" t="s">
        <v>9</v>
      </c>
    </row>
    <row r="11" ht="15.75">
      <c r="A11" s="5" t="s">
        <v>10</v>
      </c>
    </row>
    <row r="12" ht="15.75">
      <c r="A12" s="5" t="s">
        <v>11</v>
      </c>
    </row>
    <row r="13" ht="15.75">
      <c r="A13" s="5" t="s">
        <v>12</v>
      </c>
    </row>
    <row r="15" ht="15.75">
      <c r="A15" s="5" t="s">
        <v>13</v>
      </c>
    </row>
    <row r="16" ht="15.75">
      <c r="A16" s="5" t="s">
        <v>14</v>
      </c>
    </row>
    <row r="17" ht="15.75">
      <c r="A17" s="5" t="s">
        <v>15</v>
      </c>
    </row>
    <row r="19" ht="15.75">
      <c r="A19" s="5" t="s">
        <v>16</v>
      </c>
    </row>
    <row r="20" ht="15.75">
      <c r="A20" s="5" t="s">
        <v>14</v>
      </c>
    </row>
    <row r="21" ht="15.75">
      <c r="A21" s="5" t="s">
        <v>15</v>
      </c>
    </row>
    <row r="23" ht="15.75">
      <c r="A23" s="7" t="s">
        <v>17</v>
      </c>
    </row>
    <row r="25" ht="15.75">
      <c r="A25" s="5" t="s">
        <v>18</v>
      </c>
    </row>
    <row r="26" ht="15.75">
      <c r="A26" s="5" t="s">
        <v>19</v>
      </c>
    </row>
    <row r="28" ht="15.75">
      <c r="A28" s="5" t="s">
        <v>20</v>
      </c>
    </row>
    <row r="29" ht="15.75">
      <c r="A29" s="5" t="s">
        <v>21</v>
      </c>
    </row>
    <row r="30" ht="15.75">
      <c r="A30" s="5" t="s">
        <v>22</v>
      </c>
    </row>
    <row r="32" ht="15.75">
      <c r="A32" s="5" t="s">
        <v>23</v>
      </c>
    </row>
    <row r="33" ht="15.75">
      <c r="A33" s="5" t="s">
        <v>24</v>
      </c>
    </row>
    <row r="34" ht="15.75">
      <c r="A34" s="5" t="s">
        <v>25</v>
      </c>
    </row>
    <row r="35" ht="15.75">
      <c r="A35" s="5" t="s">
        <v>26</v>
      </c>
    </row>
    <row r="36" ht="15.75">
      <c r="A36" s="5" t="s">
        <v>27</v>
      </c>
    </row>
    <row r="37" ht="15.75">
      <c r="A37" s="5" t="s">
        <v>87</v>
      </c>
    </row>
    <row r="40" spans="1:7" ht="15.75">
      <c r="A40" s="58" t="s">
        <v>78</v>
      </c>
      <c r="B40" s="58"/>
      <c r="C40" s="58"/>
      <c r="D40" s="58"/>
      <c r="E40" s="58"/>
      <c r="F40" s="58"/>
      <c r="G40" s="58"/>
    </row>
    <row r="47" spans="1:7" ht="15.75">
      <c r="A47" s="7" t="s">
        <v>77</v>
      </c>
      <c r="B47" s="7"/>
      <c r="C47" s="7"/>
      <c r="D47" s="7"/>
      <c r="E47" s="7"/>
      <c r="F47" s="7"/>
      <c r="G47" s="7"/>
    </row>
    <row r="48" spans="1:7" ht="15.75">
      <c r="A48" s="7"/>
      <c r="B48" s="7"/>
      <c r="C48" s="7"/>
      <c r="D48" s="7"/>
      <c r="E48" s="7"/>
      <c r="F48" s="7"/>
      <c r="G48" s="7"/>
    </row>
    <row r="49" spans="1:7" ht="15.75">
      <c r="A49" s="58" t="s">
        <v>28</v>
      </c>
      <c r="B49" s="58"/>
      <c r="C49" s="6" t="s">
        <v>29</v>
      </c>
      <c r="D49" s="6" t="s">
        <v>30</v>
      </c>
      <c r="E49" s="6" t="s">
        <v>30</v>
      </c>
      <c r="F49" s="6" t="s">
        <v>30</v>
      </c>
      <c r="G49" s="6" t="s">
        <v>30</v>
      </c>
    </row>
    <row r="50" spans="1:7" ht="15.75">
      <c r="A50" s="6"/>
      <c r="B50" s="6"/>
      <c r="C50" s="6" t="s">
        <v>31</v>
      </c>
      <c r="D50" s="6" t="s">
        <v>32</v>
      </c>
      <c r="E50" s="6" t="s">
        <v>33</v>
      </c>
      <c r="F50" s="6" t="s">
        <v>34</v>
      </c>
      <c r="G50" s="6" t="s">
        <v>35</v>
      </c>
    </row>
    <row r="52" spans="1:7" ht="15.75">
      <c r="A52" s="5" t="s">
        <v>36</v>
      </c>
      <c r="C52" s="5">
        <v>19988000</v>
      </c>
      <c r="D52" s="5">
        <v>17109000</v>
      </c>
      <c r="E52" s="5">
        <v>15543000</v>
      </c>
      <c r="F52" s="5">
        <v>13098000</v>
      </c>
      <c r="G52" s="5">
        <v>11898000</v>
      </c>
    </row>
    <row r="53" spans="1:3" ht="15.75">
      <c r="A53" s="5" t="s">
        <v>37</v>
      </c>
      <c r="C53" s="5">
        <v>5321090</v>
      </c>
    </row>
    <row r="54" spans="1:4" ht="15.75">
      <c r="A54" s="5" t="s">
        <v>38</v>
      </c>
      <c r="D54" s="5">
        <v>3543210</v>
      </c>
    </row>
    <row r="55" spans="1:7" ht="15.75">
      <c r="A55" s="5" t="s">
        <v>39</v>
      </c>
      <c r="F55" s="5">
        <v>3543210</v>
      </c>
      <c r="G55" s="5">
        <v>2321090</v>
      </c>
    </row>
    <row r="56" spans="1:7" ht="15.75">
      <c r="A56" s="5" t="s">
        <v>40</v>
      </c>
      <c r="C56" s="5">
        <v>9765430</v>
      </c>
      <c r="D56" s="5">
        <v>8987650</v>
      </c>
      <c r="E56" s="5">
        <v>7987650</v>
      </c>
      <c r="F56" s="5">
        <v>6987650</v>
      </c>
      <c r="G56" s="5">
        <v>5765430</v>
      </c>
    </row>
    <row r="57" spans="1:7" ht="15.75">
      <c r="A57" s="5" t="s">
        <v>41</v>
      </c>
      <c r="C57" s="5">
        <v>15109870</v>
      </c>
      <c r="D57" s="5">
        <v>13321090</v>
      </c>
      <c r="E57" s="5">
        <v>12321090</v>
      </c>
      <c r="F57" s="5">
        <v>11234560</v>
      </c>
      <c r="G57" s="5">
        <v>10987650</v>
      </c>
    </row>
    <row r="58" spans="1:7" ht="15.75">
      <c r="A58" s="5" t="s">
        <v>42</v>
      </c>
      <c r="C58" s="5">
        <v>1813180</v>
      </c>
      <c r="D58" s="5">
        <v>1598530</v>
      </c>
      <c r="E58" s="5">
        <v>1478530</v>
      </c>
      <c r="F58" s="5">
        <v>1345670</v>
      </c>
      <c r="G58" s="5">
        <v>1087560</v>
      </c>
    </row>
    <row r="59" spans="1:7" ht="15.75">
      <c r="A59" s="5" t="s">
        <v>43</v>
      </c>
      <c r="D59" s="5">
        <v>18109000</v>
      </c>
      <c r="F59" s="10"/>
      <c r="G59" s="5">
        <v>11910000</v>
      </c>
    </row>
    <row r="60" spans="1:6" ht="15.75">
      <c r="A60" s="5" t="s">
        <v>44</v>
      </c>
      <c r="E60" s="5">
        <v>15909000</v>
      </c>
      <c r="F60" s="10"/>
    </row>
    <row r="61" spans="1:7" ht="15.75">
      <c r="A61" s="5" t="s">
        <v>45</v>
      </c>
      <c r="C61" s="5">
        <v>7987000</v>
      </c>
      <c r="D61" s="5">
        <v>6543000</v>
      </c>
      <c r="E61" s="5">
        <v>5543000</v>
      </c>
      <c r="F61" s="5">
        <v>4321000</v>
      </c>
      <c r="G61" s="5">
        <v>3432000</v>
      </c>
    </row>
    <row r="62" spans="1:7" ht="15.75">
      <c r="A62" s="5" t="s">
        <v>46</v>
      </c>
      <c r="C62" s="5">
        <v>9321090</v>
      </c>
      <c r="D62" s="5">
        <v>8987650</v>
      </c>
      <c r="E62" s="5">
        <v>7987650</v>
      </c>
      <c r="F62" s="5">
        <v>6765430</v>
      </c>
      <c r="G62" s="5">
        <v>5876540</v>
      </c>
    </row>
    <row r="63" spans="1:6" ht="15.75">
      <c r="A63" s="5" t="s">
        <v>47</v>
      </c>
      <c r="C63" s="5">
        <v>8765430</v>
      </c>
      <c r="F63" s="10">
        <v>6210980</v>
      </c>
    </row>
    <row r="64" spans="1:6" ht="15.75">
      <c r="A64" s="5" t="s">
        <v>48</v>
      </c>
      <c r="E64" s="5">
        <v>7321090</v>
      </c>
      <c r="F64" s="10"/>
    </row>
    <row r="65" spans="1:7" ht="15.75">
      <c r="A65" s="7" t="s">
        <v>49</v>
      </c>
      <c r="B65" s="7"/>
      <c r="C65" s="7">
        <f>SUM(C52:C64)</f>
        <v>78071090</v>
      </c>
      <c r="D65" s="7">
        <f>SUM(D52:D64)</f>
        <v>78199130</v>
      </c>
      <c r="E65" s="7">
        <f>SUM(E52:E64)</f>
        <v>74091010</v>
      </c>
      <c r="F65" s="7">
        <f>SUM(F52:F64)</f>
        <v>53506500</v>
      </c>
      <c r="G65" s="7">
        <f>SUM(G52:G64)</f>
        <v>53278270</v>
      </c>
    </row>
    <row r="66" spans="1:7" ht="15.75">
      <c r="A66" s="5" t="s">
        <v>88</v>
      </c>
      <c r="C66" s="5">
        <f>C65*4%-4</f>
        <v>3122839.6</v>
      </c>
      <c r="D66" s="5">
        <f>D65*4%-5</f>
        <v>3127960.2</v>
      </c>
      <c r="E66" s="5">
        <f>E65*4%</f>
        <v>2963640.4</v>
      </c>
      <c r="F66" s="5">
        <f>F65*4%</f>
        <v>2140260</v>
      </c>
      <c r="G66" s="5">
        <f>G65*4%-1</f>
        <v>2131129.8</v>
      </c>
    </row>
    <row r="67" spans="1:7" ht="15.75">
      <c r="A67" s="5" t="s">
        <v>85</v>
      </c>
      <c r="C67" s="5">
        <f>C65*4%-4</f>
        <v>3122839.6</v>
      </c>
      <c r="D67" s="5">
        <f>D65*4%-5</f>
        <v>3127960.2</v>
      </c>
      <c r="E67" s="5">
        <f>E65*4%</f>
        <v>2963640.4</v>
      </c>
      <c r="F67" s="5">
        <f>F65*4%</f>
        <v>2140260</v>
      </c>
      <c r="G67" s="5">
        <f>G65*4%-1</f>
        <v>2131129.8</v>
      </c>
    </row>
    <row r="68" spans="1:7" ht="15.75">
      <c r="A68" s="5" t="s">
        <v>86</v>
      </c>
      <c r="C68" s="5">
        <f>C65*8%-7</f>
        <v>6245680.2</v>
      </c>
      <c r="D68" s="5">
        <f>D65*8%</f>
        <v>6255930.4</v>
      </c>
      <c r="E68" s="5">
        <f>E65*8%-1</f>
        <v>5927279.8</v>
      </c>
      <c r="F68" s="5">
        <f>F65*8%</f>
        <v>4280520</v>
      </c>
      <c r="G68" s="5">
        <f>G65*8%-2</f>
        <v>4262259.6</v>
      </c>
    </row>
    <row r="69" spans="1:7" ht="15.75">
      <c r="A69" s="5" t="s">
        <v>51</v>
      </c>
      <c r="C69" s="5">
        <f>C65*1%-1</f>
        <v>780709.9</v>
      </c>
      <c r="D69" s="5">
        <f>D65*1%-1</f>
        <v>781990.3</v>
      </c>
      <c r="E69" s="5">
        <f>E65*1%</f>
        <v>740910.1</v>
      </c>
      <c r="F69" s="5">
        <f>F65*1%-5</f>
        <v>535060</v>
      </c>
      <c r="G69" s="5">
        <f>G65*1%-3</f>
        <v>532779.7</v>
      </c>
    </row>
    <row r="70" spans="1:7" ht="15.75">
      <c r="A70" s="5" t="s">
        <v>50</v>
      </c>
      <c r="C70" s="5">
        <v>5765430</v>
      </c>
      <c r="D70" s="5">
        <v>4109870</v>
      </c>
      <c r="E70" s="5">
        <v>3765430</v>
      </c>
      <c r="F70" s="5">
        <v>2543210</v>
      </c>
      <c r="G70" s="5">
        <v>1098760</v>
      </c>
    </row>
    <row r="72" spans="1:7" ht="15.75">
      <c r="A72" s="7" t="s">
        <v>79</v>
      </c>
      <c r="B72" s="7"/>
      <c r="C72" s="7"/>
      <c r="D72" s="7"/>
      <c r="E72" s="7"/>
      <c r="F72" s="7"/>
      <c r="G72" s="7"/>
    </row>
    <row r="74" spans="1:7" ht="15.75">
      <c r="A74" s="58" t="s">
        <v>52</v>
      </c>
      <c r="B74" s="58"/>
      <c r="C74" s="6" t="s">
        <v>29</v>
      </c>
      <c r="D74" s="6" t="s">
        <v>30</v>
      </c>
      <c r="E74" s="6" t="s">
        <v>30</v>
      </c>
      <c r="F74" s="6" t="s">
        <v>30</v>
      </c>
      <c r="G74" s="6" t="s">
        <v>30</v>
      </c>
    </row>
    <row r="75" spans="1:7" ht="15.75">
      <c r="A75" s="6"/>
      <c r="B75" s="6"/>
      <c r="C75" s="6" t="s">
        <v>31</v>
      </c>
      <c r="D75" s="6" t="s">
        <v>32</v>
      </c>
      <c r="E75" s="6" t="s">
        <v>33</v>
      </c>
      <c r="F75" s="6" t="s">
        <v>34</v>
      </c>
      <c r="G75" s="6" t="s">
        <v>35</v>
      </c>
    </row>
    <row r="77" spans="1:7" ht="15.75">
      <c r="A77" s="5" t="s">
        <v>36</v>
      </c>
      <c r="C77" s="5">
        <v>106123450</v>
      </c>
      <c r="D77" s="5">
        <v>99567890</v>
      </c>
      <c r="E77" s="5">
        <v>81901230</v>
      </c>
      <c r="F77" s="5">
        <v>73456780</v>
      </c>
      <c r="G77" s="5">
        <v>65890120</v>
      </c>
    </row>
    <row r="78" spans="1:3" ht="15.75">
      <c r="A78" s="5" t="s">
        <v>53</v>
      </c>
      <c r="C78" s="5">
        <v>4789010</v>
      </c>
    </row>
    <row r="79" spans="1:4" ht="15.75">
      <c r="A79" s="5" t="s">
        <v>38</v>
      </c>
      <c r="D79" s="5">
        <v>3123450</v>
      </c>
    </row>
    <row r="80" spans="1:7" ht="15.75">
      <c r="A80" s="5" t="s">
        <v>54</v>
      </c>
      <c r="F80" s="5">
        <v>1012340</v>
      </c>
      <c r="G80" s="5">
        <v>1456780</v>
      </c>
    </row>
    <row r="81" spans="1:7" ht="15.75">
      <c r="A81" s="5" t="s">
        <v>55</v>
      </c>
      <c r="C81" s="5">
        <v>10345670</v>
      </c>
      <c r="D81" s="5">
        <v>8789010</v>
      </c>
      <c r="E81" s="5">
        <v>8567890</v>
      </c>
      <c r="F81" s="5">
        <v>7678900</v>
      </c>
      <c r="G81" s="5">
        <v>6012340</v>
      </c>
    </row>
    <row r="82" spans="1:7" ht="15.75">
      <c r="A82" s="5" t="s">
        <v>41</v>
      </c>
      <c r="C82" s="5">
        <v>8901230</v>
      </c>
      <c r="D82" s="5">
        <v>7345670</v>
      </c>
      <c r="E82" s="5">
        <v>6123450</v>
      </c>
      <c r="F82" s="5">
        <v>6234560</v>
      </c>
      <c r="G82" s="5">
        <v>5678900</v>
      </c>
    </row>
    <row r="83" spans="1:7" ht="15.75">
      <c r="A83" s="5" t="s">
        <v>42</v>
      </c>
      <c r="C83" s="5">
        <v>1567890</v>
      </c>
      <c r="D83" s="5">
        <v>1901230</v>
      </c>
      <c r="E83" s="5">
        <v>1789010</v>
      </c>
      <c r="F83" s="5">
        <v>1890120</v>
      </c>
      <c r="G83" s="5">
        <v>1234560</v>
      </c>
    </row>
    <row r="84" spans="1:7" ht="15.75">
      <c r="A84" s="5" t="s">
        <v>45</v>
      </c>
      <c r="C84" s="5">
        <v>1123450</v>
      </c>
      <c r="D84" s="5">
        <v>1567890</v>
      </c>
      <c r="E84" s="5">
        <v>1345670</v>
      </c>
      <c r="F84" s="5">
        <v>1456780</v>
      </c>
      <c r="G84" s="5">
        <v>1890120</v>
      </c>
    </row>
    <row r="85" spans="1:7" ht="15.75">
      <c r="A85" s="5" t="s">
        <v>46</v>
      </c>
      <c r="C85" s="5">
        <v>6789010</v>
      </c>
      <c r="D85" s="5">
        <v>5123450</v>
      </c>
      <c r="E85" s="5">
        <v>5678900</v>
      </c>
      <c r="F85" s="5">
        <v>4012340</v>
      </c>
      <c r="G85" s="5">
        <v>4567890</v>
      </c>
    </row>
    <row r="86" spans="1:7" ht="15.75">
      <c r="A86" s="7" t="s">
        <v>56</v>
      </c>
      <c r="B86" s="7"/>
      <c r="C86" s="7">
        <f>SUM(C77:C85)</f>
        <v>139639710</v>
      </c>
      <c r="D86" s="7">
        <f>SUM(D77:D85)</f>
        <v>127418590</v>
      </c>
      <c r="E86" s="7">
        <f>SUM(E77:E85)</f>
        <v>105406150</v>
      </c>
      <c r="F86" s="7">
        <f>SUM(F77:F85)</f>
        <v>95741820</v>
      </c>
      <c r="G86" s="7">
        <f>SUM(G77:G85)</f>
        <v>86730710</v>
      </c>
    </row>
    <row r="87" spans="1:7" ht="15.75">
      <c r="A87" s="5" t="s">
        <v>88</v>
      </c>
      <c r="C87" s="5">
        <f>C86*4%-8</f>
        <v>5585580.4</v>
      </c>
      <c r="D87" s="5">
        <f>D86*4%-4</f>
        <v>5096739.600000001</v>
      </c>
      <c r="E87" s="5">
        <f>E86*4%-6</f>
        <v>4216240</v>
      </c>
      <c r="F87" s="5">
        <f>F86*4%-3</f>
        <v>3829669.8000000003</v>
      </c>
      <c r="G87" s="5">
        <f>G86*4%-8</f>
        <v>3469220.4</v>
      </c>
    </row>
    <row r="88" spans="1:7" ht="15.75">
      <c r="A88" s="5" t="s">
        <v>85</v>
      </c>
      <c r="C88" s="5">
        <f>C86*4%-8</f>
        <v>5585580.4</v>
      </c>
      <c r="D88" s="5">
        <f>D86*4%-4</f>
        <v>5096739.600000001</v>
      </c>
      <c r="E88" s="5">
        <f>E86*4%-6</f>
        <v>4216240</v>
      </c>
      <c r="F88" s="5">
        <f>F86*4%-3</f>
        <v>3829669.8000000003</v>
      </c>
      <c r="G88" s="5">
        <f>G86*4%-8</f>
        <v>3469220.4</v>
      </c>
    </row>
    <row r="89" spans="1:7" ht="15.75">
      <c r="A89" s="5" t="s">
        <v>57</v>
      </c>
      <c r="C89" s="5">
        <f>C86*1%-7</f>
        <v>1396390.1</v>
      </c>
      <c r="D89" s="5">
        <f>D86*1%-6</f>
        <v>1274179.9000000001</v>
      </c>
      <c r="E89" s="5">
        <f>E86*1%-2</f>
        <v>1054059.5</v>
      </c>
      <c r="F89" s="5">
        <f>F86*1%-8</f>
        <v>957410.2000000001</v>
      </c>
      <c r="G89" s="5">
        <f>G86*1%-7</f>
        <v>867300.1</v>
      </c>
    </row>
    <row r="90" spans="1:7" ht="15.75">
      <c r="A90" s="5" t="s">
        <v>50</v>
      </c>
      <c r="C90" s="5">
        <v>7901230</v>
      </c>
      <c r="D90" s="5">
        <v>5345670</v>
      </c>
      <c r="E90" s="5">
        <v>4890120</v>
      </c>
      <c r="F90" s="5">
        <v>3234560</v>
      </c>
      <c r="G90" s="5">
        <v>2789010</v>
      </c>
    </row>
    <row r="92" spans="1:7" ht="15.75">
      <c r="A92" s="59" t="s">
        <v>3</v>
      </c>
      <c r="B92" s="59"/>
      <c r="C92" s="59"/>
      <c r="D92" s="59"/>
      <c r="E92" s="59"/>
      <c r="F92" s="59"/>
      <c r="G92" s="59"/>
    </row>
    <row r="93" spans="1:7" ht="15.75">
      <c r="A93" s="61" t="s">
        <v>78</v>
      </c>
      <c r="B93" s="61"/>
      <c r="C93" s="61"/>
      <c r="D93" s="61"/>
      <c r="E93" s="61"/>
      <c r="F93" s="62" t="s">
        <v>4</v>
      </c>
      <c r="G93" s="62"/>
    </row>
    <row r="94" spans="1:7" ht="15.75">
      <c r="A94" s="7" t="s">
        <v>58</v>
      </c>
      <c r="B94" s="7"/>
      <c r="C94" s="7"/>
      <c r="D94" s="7"/>
      <c r="E94" s="7"/>
      <c r="F94" s="7"/>
      <c r="G94" s="7"/>
    </row>
    <row r="96" spans="1:7" ht="15.75">
      <c r="A96" s="58" t="s">
        <v>52</v>
      </c>
      <c r="B96" s="58"/>
      <c r="C96" s="6" t="s">
        <v>29</v>
      </c>
      <c r="D96" s="6" t="s">
        <v>30</v>
      </c>
      <c r="E96" s="6" t="s">
        <v>30</v>
      </c>
      <c r="F96" s="6" t="s">
        <v>30</v>
      </c>
      <c r="G96" s="6" t="s">
        <v>30</v>
      </c>
    </row>
    <row r="97" spans="1:7" ht="15.75">
      <c r="A97" s="6"/>
      <c r="B97" s="6"/>
      <c r="C97" s="6" t="s">
        <v>31</v>
      </c>
      <c r="D97" s="6" t="s">
        <v>32</v>
      </c>
      <c r="E97" s="6" t="s">
        <v>59</v>
      </c>
      <c r="F97" s="6" t="s">
        <v>34</v>
      </c>
      <c r="G97" s="6" t="s">
        <v>35</v>
      </c>
    </row>
    <row r="99" spans="1:7" ht="15.75">
      <c r="A99" s="5" t="s">
        <v>36</v>
      </c>
      <c r="C99" s="5">
        <v>115123450</v>
      </c>
      <c r="D99" s="5">
        <v>97567890</v>
      </c>
      <c r="E99" s="5">
        <v>88901230</v>
      </c>
      <c r="F99" s="5">
        <v>79789010</v>
      </c>
      <c r="G99" s="5">
        <v>67456780</v>
      </c>
    </row>
    <row r="100" spans="1:3" ht="15.75">
      <c r="A100" s="5" t="s">
        <v>37</v>
      </c>
      <c r="C100" s="5">
        <v>5789010</v>
      </c>
    </row>
    <row r="101" spans="1:4" ht="15.75">
      <c r="A101" s="5" t="s">
        <v>60</v>
      </c>
      <c r="D101" s="5">
        <v>4123450</v>
      </c>
    </row>
    <row r="102" spans="1:7" ht="15.75">
      <c r="A102" s="5" t="s">
        <v>54</v>
      </c>
      <c r="F102" s="5">
        <v>3345670</v>
      </c>
      <c r="G102" s="5">
        <v>1012340</v>
      </c>
    </row>
    <row r="103" spans="1:7" ht="15.75">
      <c r="A103" s="5" t="s">
        <v>55</v>
      </c>
      <c r="C103" s="5">
        <v>11345670</v>
      </c>
      <c r="D103" s="5">
        <v>10789010</v>
      </c>
      <c r="E103" s="5">
        <v>9567890</v>
      </c>
      <c r="F103" s="5">
        <v>8901230</v>
      </c>
      <c r="G103" s="5">
        <v>7678900</v>
      </c>
    </row>
    <row r="104" spans="1:7" ht="15.75">
      <c r="A104" s="5" t="s">
        <v>41</v>
      </c>
      <c r="C104" s="5">
        <v>9901230</v>
      </c>
      <c r="D104" s="5">
        <v>8345670</v>
      </c>
      <c r="E104" s="5">
        <v>7123450</v>
      </c>
      <c r="F104" s="5">
        <v>6789010</v>
      </c>
      <c r="G104" s="5">
        <v>6234560</v>
      </c>
    </row>
    <row r="105" spans="1:7" ht="15.75">
      <c r="A105" s="5" t="s">
        <v>42</v>
      </c>
      <c r="C105" s="5">
        <v>1567890</v>
      </c>
      <c r="D105" s="5">
        <v>1901230</v>
      </c>
      <c r="E105" s="5">
        <v>1789010</v>
      </c>
      <c r="F105" s="5">
        <v>1345670</v>
      </c>
      <c r="G105" s="5">
        <v>1890120</v>
      </c>
    </row>
    <row r="106" spans="1:7" ht="15.75">
      <c r="A106" s="5" t="s">
        <v>45</v>
      </c>
      <c r="C106" s="5">
        <v>1123450</v>
      </c>
      <c r="D106" s="5">
        <v>1567890</v>
      </c>
      <c r="E106" s="5">
        <v>1345670</v>
      </c>
      <c r="F106" s="5">
        <v>1901230</v>
      </c>
      <c r="G106" s="5">
        <v>1456780</v>
      </c>
    </row>
    <row r="107" spans="1:7" ht="15.75">
      <c r="A107" s="5" t="s">
        <v>46</v>
      </c>
      <c r="C107" s="5">
        <v>7789010</v>
      </c>
      <c r="D107" s="5">
        <v>6123450</v>
      </c>
      <c r="E107" s="5">
        <v>5901230</v>
      </c>
      <c r="F107" s="5">
        <v>5678900</v>
      </c>
      <c r="G107" s="5">
        <v>4012340</v>
      </c>
    </row>
    <row r="108" spans="1:7" ht="15.75">
      <c r="A108" s="7" t="s">
        <v>61</v>
      </c>
      <c r="B108" s="7"/>
      <c r="C108" s="7">
        <f>SUM(C99:C107)</f>
        <v>152639710</v>
      </c>
      <c r="D108" s="7">
        <f>SUM(D99:D107)</f>
        <v>130418590</v>
      </c>
      <c r="E108" s="7">
        <f>SUM(E99:E107)</f>
        <v>114628480</v>
      </c>
      <c r="F108" s="7">
        <f>SUM(F99:F107)</f>
        <v>107750720</v>
      </c>
      <c r="G108" s="7">
        <f>SUM(G99:G107)</f>
        <v>89741820</v>
      </c>
    </row>
    <row r="109" spans="1:7" ht="15.75">
      <c r="A109" s="7"/>
      <c r="B109" s="7"/>
      <c r="C109" s="7"/>
      <c r="D109" s="7"/>
      <c r="E109" s="7"/>
      <c r="F109" s="7"/>
      <c r="G109" s="7"/>
    </row>
    <row r="110" spans="1:7" ht="15.75">
      <c r="A110" s="5" t="s">
        <v>88</v>
      </c>
      <c r="C110" s="5">
        <f>C108*4%-8</f>
        <v>6105580.4</v>
      </c>
      <c r="D110" s="5">
        <f>D108*4%-4</f>
        <v>5216739.600000001</v>
      </c>
      <c r="E110" s="5">
        <f>E108*4%-9</f>
        <v>4585130.2</v>
      </c>
      <c r="F110" s="5">
        <f>F108*4%-9</f>
        <v>4310019.8</v>
      </c>
      <c r="G110" s="5">
        <f>G108*4%-3</f>
        <v>3589669.8000000003</v>
      </c>
    </row>
    <row r="111" spans="1:7" ht="15.75">
      <c r="A111" s="5" t="s">
        <v>85</v>
      </c>
      <c r="C111" s="5">
        <f>C108*4%-8</f>
        <v>6105580.4</v>
      </c>
      <c r="D111" s="5">
        <f>D108*4%-4</f>
        <v>5216739.600000001</v>
      </c>
      <c r="E111" s="5">
        <f>E108*4%-9</f>
        <v>4585130.2</v>
      </c>
      <c r="F111" s="5">
        <f>F108*4%-9</f>
        <v>4310019.8</v>
      </c>
      <c r="G111" s="5">
        <f>G108*4%-3</f>
        <v>3589669.8000000003</v>
      </c>
    </row>
    <row r="112" spans="1:7" ht="15.75">
      <c r="A112" s="5" t="s">
        <v>57</v>
      </c>
      <c r="C112" s="5">
        <f>C108*1%-7</f>
        <v>1526390.1</v>
      </c>
      <c r="D112" s="5">
        <f>D108*1%-6</f>
        <v>1304179.9000000001</v>
      </c>
      <c r="E112" s="5">
        <f>E108*1%-5</f>
        <v>1146279.8</v>
      </c>
      <c r="F112" s="5">
        <f>F108*1%-7</f>
        <v>1077500.2</v>
      </c>
      <c r="G112" s="5">
        <f>G108*1%-8</f>
        <v>897410.2000000001</v>
      </c>
    </row>
    <row r="113" spans="1:7" ht="15.75">
      <c r="A113" s="5" t="s">
        <v>50</v>
      </c>
      <c r="C113" s="5">
        <v>1151230</v>
      </c>
      <c r="D113" s="5">
        <v>975670</v>
      </c>
      <c r="E113" s="5">
        <v>889010</v>
      </c>
      <c r="F113" s="5">
        <v>797890</v>
      </c>
      <c r="G113" s="5">
        <v>674560</v>
      </c>
    </row>
    <row r="115" spans="1:7" ht="15.75">
      <c r="A115" s="7" t="s">
        <v>81</v>
      </c>
      <c r="B115" s="7"/>
      <c r="C115" s="7"/>
      <c r="D115" s="7"/>
      <c r="E115" s="7"/>
      <c r="F115" s="7"/>
      <c r="G115" s="7"/>
    </row>
    <row r="116" spans="1:7" ht="15.75">
      <c r="A116" s="7"/>
      <c r="B116" s="7"/>
      <c r="C116" s="7"/>
      <c r="D116" s="7"/>
      <c r="E116" s="7"/>
      <c r="F116" s="7"/>
      <c r="G116" s="7"/>
    </row>
    <row r="117" spans="1:7" ht="15.75">
      <c r="A117" s="58" t="s">
        <v>80</v>
      </c>
      <c r="B117" s="58"/>
      <c r="C117" s="6" t="s">
        <v>29</v>
      </c>
      <c r="D117" s="6" t="s">
        <v>29</v>
      </c>
      <c r="E117" s="6" t="s">
        <v>30</v>
      </c>
      <c r="F117" s="6" t="s">
        <v>30</v>
      </c>
      <c r="G117" s="6" t="s">
        <v>30</v>
      </c>
    </row>
    <row r="118" spans="1:7" ht="15.75">
      <c r="A118" s="7"/>
      <c r="B118" s="7"/>
      <c r="C118" s="6" t="s">
        <v>31</v>
      </c>
      <c r="D118" s="6" t="s">
        <v>32</v>
      </c>
      <c r="E118" s="6" t="s">
        <v>33</v>
      </c>
      <c r="F118" s="6" t="s">
        <v>34</v>
      </c>
      <c r="G118" s="6" t="s">
        <v>35</v>
      </c>
    </row>
    <row r="120" spans="1:7" ht="15.75">
      <c r="A120" s="5" t="s">
        <v>36</v>
      </c>
      <c r="C120" s="5">
        <v>109890120</v>
      </c>
      <c r="D120" s="5">
        <v>91901230</v>
      </c>
      <c r="E120" s="5">
        <v>83012340</v>
      </c>
      <c r="F120" s="5">
        <v>75890120</v>
      </c>
      <c r="G120" s="5">
        <v>66234560</v>
      </c>
    </row>
    <row r="121" ht="15.75">
      <c r="A121" s="5" t="s">
        <v>53</v>
      </c>
    </row>
    <row r="122" spans="1:4" ht="15.75">
      <c r="A122" s="5" t="s">
        <v>38</v>
      </c>
      <c r="D122" s="5">
        <v>3567890</v>
      </c>
    </row>
    <row r="123" spans="1:7" ht="15.75">
      <c r="A123" s="5" t="s">
        <v>54</v>
      </c>
      <c r="F123" s="5">
        <v>3456780</v>
      </c>
      <c r="G123" s="5">
        <v>2890120</v>
      </c>
    </row>
    <row r="124" spans="1:7" ht="15.75">
      <c r="A124" s="5" t="s">
        <v>40</v>
      </c>
      <c r="C124" s="5">
        <v>11012340</v>
      </c>
      <c r="D124" s="5">
        <v>10123450</v>
      </c>
      <c r="E124" s="5">
        <v>9678900</v>
      </c>
      <c r="F124" s="5">
        <v>8012340</v>
      </c>
      <c r="G124" s="5">
        <v>7456780</v>
      </c>
    </row>
    <row r="125" spans="1:7" ht="15.75">
      <c r="A125" s="5" t="s">
        <v>41</v>
      </c>
      <c r="C125" s="5">
        <v>9678900</v>
      </c>
      <c r="D125" s="5">
        <v>7789010</v>
      </c>
      <c r="E125" s="5">
        <v>7234560</v>
      </c>
      <c r="F125" s="5">
        <v>6678900</v>
      </c>
      <c r="G125" s="5">
        <v>5012340</v>
      </c>
    </row>
    <row r="126" spans="1:7" ht="15.75">
      <c r="A126" s="5" t="s">
        <v>62</v>
      </c>
      <c r="C126" s="5">
        <v>1345670</v>
      </c>
      <c r="D126" s="5">
        <v>1456780</v>
      </c>
      <c r="E126" s="5">
        <v>1890120</v>
      </c>
      <c r="F126" s="5">
        <v>1234560</v>
      </c>
      <c r="G126" s="5">
        <v>1678900</v>
      </c>
    </row>
    <row r="127" spans="1:7" ht="15.75">
      <c r="A127" s="5" t="s">
        <v>45</v>
      </c>
      <c r="C127" s="5">
        <v>1901230</v>
      </c>
      <c r="D127" s="5">
        <v>1012340</v>
      </c>
      <c r="E127" s="5">
        <v>1456780</v>
      </c>
      <c r="F127" s="5">
        <v>1890120</v>
      </c>
      <c r="G127" s="5">
        <v>1234560</v>
      </c>
    </row>
    <row r="128" spans="1:7" ht="15.75">
      <c r="A128" s="5" t="s">
        <v>46</v>
      </c>
      <c r="C128" s="5">
        <v>7567890</v>
      </c>
      <c r="D128" s="5">
        <v>6678900</v>
      </c>
      <c r="E128" s="5">
        <v>6012340</v>
      </c>
      <c r="F128" s="5">
        <v>5456780</v>
      </c>
      <c r="G128" s="5">
        <v>5890120</v>
      </c>
    </row>
    <row r="129" spans="1:4" ht="15.75">
      <c r="A129" s="5" t="s">
        <v>47</v>
      </c>
      <c r="C129" s="5">
        <v>6123450</v>
      </c>
      <c r="D129" s="5">
        <v>4234560</v>
      </c>
    </row>
    <row r="131" spans="1:7" ht="15.75">
      <c r="A131" s="7" t="s">
        <v>61</v>
      </c>
      <c r="B131" s="7"/>
      <c r="C131" s="7">
        <f>SUM(C120:C130)</f>
        <v>147519600</v>
      </c>
      <c r="D131" s="7">
        <f>SUM(D120:D130)</f>
        <v>126764160</v>
      </c>
      <c r="E131" s="7">
        <f>SUM(E120:E130)</f>
        <v>109285040</v>
      </c>
      <c r="F131" s="7">
        <f>SUM(F120:F130)</f>
        <v>102619600</v>
      </c>
      <c r="G131" s="7">
        <f>SUM(G120:G130)</f>
        <v>90397380</v>
      </c>
    </row>
    <row r="132" spans="1:7" ht="15.75">
      <c r="A132" s="7"/>
      <c r="B132" s="7"/>
      <c r="C132" s="7"/>
      <c r="D132" s="7"/>
      <c r="E132" s="7"/>
      <c r="F132" s="7"/>
      <c r="G132" s="7"/>
    </row>
    <row r="133" spans="1:7" ht="15.75">
      <c r="A133" s="5" t="s">
        <v>88</v>
      </c>
      <c r="C133" s="5">
        <f>C131*4%-4</f>
        <v>5900780</v>
      </c>
      <c r="D133" s="5">
        <f>D131*4%-6</f>
        <v>5070560.4</v>
      </c>
      <c r="E133" s="5">
        <f>E131*4%-2</f>
        <v>4371399.6</v>
      </c>
      <c r="F133" s="5">
        <f>F131*4%-4</f>
        <v>4104780</v>
      </c>
      <c r="G133" s="5">
        <f>G131*4%-5</f>
        <v>3615890.2</v>
      </c>
    </row>
    <row r="134" spans="1:7" ht="15.75">
      <c r="A134" s="5" t="s">
        <v>85</v>
      </c>
      <c r="C134" s="5">
        <f>C131*4%-4</f>
        <v>5900780</v>
      </c>
      <c r="D134" s="5">
        <f>D131*4%-6</f>
        <v>5070560.4</v>
      </c>
      <c r="E134" s="5">
        <f>E131*4%-2</f>
        <v>4371399.6</v>
      </c>
      <c r="F134" s="5">
        <f>F131*4%-4</f>
        <v>4104780</v>
      </c>
      <c r="G134" s="5">
        <f>G131*4%-5</f>
        <v>3615890.2</v>
      </c>
    </row>
    <row r="135" spans="1:7" ht="15.75">
      <c r="A135" s="5" t="s">
        <v>57</v>
      </c>
      <c r="C135" s="5">
        <f>C131*1%-6</f>
        <v>1475190</v>
      </c>
      <c r="D135" s="5">
        <f>D131*1%-2</f>
        <v>1267639.6</v>
      </c>
      <c r="E135" s="5">
        <f>E131*1%</f>
        <v>1092850.4</v>
      </c>
      <c r="F135" s="5">
        <f>F131*1%-6</f>
        <v>1026190</v>
      </c>
      <c r="G135" s="5">
        <f>G131*1%-4</f>
        <v>903969.8</v>
      </c>
    </row>
    <row r="136" spans="1:7" ht="15.75">
      <c r="A136" s="5" t="s">
        <v>50</v>
      </c>
      <c r="C136" s="5">
        <v>7345670</v>
      </c>
      <c r="D136" s="5">
        <v>5456780</v>
      </c>
      <c r="E136" s="5">
        <v>4234560</v>
      </c>
      <c r="F136" s="5">
        <v>3678900</v>
      </c>
      <c r="G136" s="5">
        <v>3012340</v>
      </c>
    </row>
    <row r="138" spans="1:7" ht="15.75">
      <c r="A138" s="59" t="s">
        <v>3</v>
      </c>
      <c r="B138" s="59"/>
      <c r="C138" s="59"/>
      <c r="D138" s="59"/>
      <c r="E138" s="59"/>
      <c r="F138" s="59"/>
      <c r="G138" s="59"/>
    </row>
    <row r="139" spans="1:7" ht="15.75">
      <c r="A139" s="61" t="s">
        <v>78</v>
      </c>
      <c r="B139" s="61"/>
      <c r="C139" s="61"/>
      <c r="D139" s="61"/>
      <c r="E139" s="61"/>
      <c r="F139" s="62" t="s">
        <v>4</v>
      </c>
      <c r="G139" s="62"/>
    </row>
    <row r="141" spans="1:7" ht="15.75">
      <c r="A141" s="7" t="s">
        <v>64</v>
      </c>
      <c r="B141" s="7"/>
      <c r="C141" s="7"/>
      <c r="D141" s="7"/>
      <c r="E141" s="7"/>
      <c r="F141" s="7"/>
      <c r="G141" s="7"/>
    </row>
    <row r="142" spans="1:7" ht="15.75">
      <c r="A142" s="7"/>
      <c r="B142" s="7"/>
      <c r="C142" s="7"/>
      <c r="D142" s="7"/>
      <c r="E142" s="7"/>
      <c r="F142" s="7"/>
      <c r="G142" s="7"/>
    </row>
    <row r="143" spans="1:7" ht="15.75">
      <c r="A143" s="58" t="s">
        <v>52</v>
      </c>
      <c r="B143" s="58"/>
      <c r="C143" s="6" t="s">
        <v>29</v>
      </c>
      <c r="D143" s="6" t="s">
        <v>30</v>
      </c>
      <c r="E143" s="6" t="s">
        <v>30</v>
      </c>
      <c r="F143" s="6" t="s">
        <v>30</v>
      </c>
      <c r="G143" s="6" t="s">
        <v>30</v>
      </c>
    </row>
    <row r="144" spans="1:7" ht="15.75">
      <c r="A144" s="7"/>
      <c r="B144" s="7"/>
      <c r="C144" s="6" t="s">
        <v>31</v>
      </c>
      <c r="D144" s="6" t="s">
        <v>32</v>
      </c>
      <c r="E144" s="6" t="s">
        <v>59</v>
      </c>
      <c r="F144" s="6" t="s">
        <v>34</v>
      </c>
      <c r="G144" s="6" t="s">
        <v>35</v>
      </c>
    </row>
    <row r="146" ht="15.75">
      <c r="A146" s="5" t="s">
        <v>65</v>
      </c>
    </row>
    <row r="147" spans="1:7" ht="15.75">
      <c r="A147" s="5" t="s">
        <v>68</v>
      </c>
      <c r="C147" s="5">
        <v>19123450</v>
      </c>
      <c r="D147" s="5">
        <v>19098760</v>
      </c>
      <c r="E147" s="5">
        <v>16123450</v>
      </c>
      <c r="F147" s="5">
        <v>15098760</v>
      </c>
      <c r="G147" s="5">
        <v>14123450</v>
      </c>
    </row>
    <row r="148" ht="15.75">
      <c r="A148" s="5" t="s">
        <v>66</v>
      </c>
    </row>
    <row r="149" spans="1:7" ht="15.75">
      <c r="A149" s="5" t="s">
        <v>69</v>
      </c>
      <c r="C149" s="5">
        <v>10098760</v>
      </c>
      <c r="D149" s="5">
        <v>10123450</v>
      </c>
      <c r="E149" s="5">
        <v>7098760</v>
      </c>
      <c r="F149" s="5">
        <v>5123450</v>
      </c>
      <c r="G149" s="5">
        <v>4098760</v>
      </c>
    </row>
    <row r="151" spans="1:7" ht="15.75">
      <c r="A151" s="5" t="s">
        <v>67</v>
      </c>
      <c r="C151" s="5">
        <v>9876540</v>
      </c>
      <c r="D151" s="5">
        <v>8765430</v>
      </c>
      <c r="E151" s="5">
        <v>7654320</v>
      </c>
      <c r="F151" s="5">
        <v>6543210</v>
      </c>
      <c r="G151" s="5">
        <v>5432190</v>
      </c>
    </row>
    <row r="153" ht="15.75">
      <c r="A153" s="5" t="s">
        <v>65</v>
      </c>
    </row>
    <row r="154" spans="1:7" ht="15.75">
      <c r="A154" s="5" t="s">
        <v>82</v>
      </c>
      <c r="C154" s="5">
        <v>21123450</v>
      </c>
      <c r="D154" s="5">
        <v>10098760</v>
      </c>
      <c r="E154" s="5">
        <v>19123450</v>
      </c>
      <c r="F154" s="5">
        <v>7098760</v>
      </c>
      <c r="G154" s="5">
        <v>16123450</v>
      </c>
    </row>
    <row r="155" ht="15.75">
      <c r="A155" s="5" t="s">
        <v>66</v>
      </c>
    </row>
    <row r="156" spans="1:7" ht="15.75">
      <c r="A156" s="5" t="s">
        <v>83</v>
      </c>
      <c r="C156" s="5">
        <v>10098760</v>
      </c>
      <c r="D156" s="5">
        <v>29123450</v>
      </c>
      <c r="E156" s="5">
        <v>8098760</v>
      </c>
      <c r="F156" s="5">
        <v>18123450</v>
      </c>
      <c r="G156" s="5">
        <v>7098760</v>
      </c>
    </row>
    <row r="158" spans="1:7" ht="15.75">
      <c r="A158" s="5" t="s">
        <v>67</v>
      </c>
      <c r="C158" s="5">
        <v>10987650</v>
      </c>
      <c r="D158" s="5">
        <v>9876540</v>
      </c>
      <c r="E158" s="5">
        <v>8765430</v>
      </c>
      <c r="F158" s="5">
        <v>7654320</v>
      </c>
      <c r="G158" s="5">
        <v>6543210</v>
      </c>
    </row>
    <row r="160" spans="1:7" ht="15.75">
      <c r="A160" s="7" t="s">
        <v>84</v>
      </c>
      <c r="B160" s="7"/>
      <c r="C160" s="7"/>
      <c r="D160" s="7"/>
      <c r="E160" s="7"/>
      <c r="F160" s="7"/>
      <c r="G160" s="7"/>
    </row>
    <row r="161" spans="1:7" ht="15.75">
      <c r="A161" s="7"/>
      <c r="B161" s="7"/>
      <c r="C161" s="7"/>
      <c r="D161" s="7"/>
      <c r="E161" s="7"/>
      <c r="F161" s="7"/>
      <c r="G161" s="7"/>
    </row>
    <row r="162" spans="1:7" ht="15.75">
      <c r="A162" s="58" t="s">
        <v>28</v>
      </c>
      <c r="B162" s="58"/>
      <c r="C162" s="6" t="s">
        <v>30</v>
      </c>
      <c r="D162" s="6" t="s">
        <v>30</v>
      </c>
      <c r="E162" s="6" t="s">
        <v>30</v>
      </c>
      <c r="F162" s="6" t="s">
        <v>30</v>
      </c>
      <c r="G162" s="6" t="s">
        <v>30</v>
      </c>
    </row>
    <row r="163" spans="1:7" ht="15.75">
      <c r="A163" s="7"/>
      <c r="B163" s="7"/>
      <c r="C163" s="6" t="s">
        <v>31</v>
      </c>
      <c r="D163" s="6" t="s">
        <v>32</v>
      </c>
      <c r="E163" s="6" t="s">
        <v>33</v>
      </c>
      <c r="F163" s="6" t="s">
        <v>34</v>
      </c>
      <c r="G163" s="6" t="s">
        <v>35</v>
      </c>
    </row>
    <row r="165" spans="1:7" ht="15.75">
      <c r="A165" s="5" t="s">
        <v>36</v>
      </c>
      <c r="C165" s="5">
        <v>96123450</v>
      </c>
      <c r="D165" s="5">
        <v>81123450</v>
      </c>
      <c r="E165" s="5">
        <v>74345670</v>
      </c>
      <c r="F165" s="5">
        <v>67123450</v>
      </c>
      <c r="G165" s="5">
        <v>58567890</v>
      </c>
    </row>
    <row r="166" spans="1:3" ht="15.75">
      <c r="A166" s="5" t="s">
        <v>53</v>
      </c>
      <c r="C166" s="5">
        <v>4789010</v>
      </c>
    </row>
    <row r="167" spans="1:4" ht="15.75">
      <c r="A167" s="5" t="s">
        <v>38</v>
      </c>
      <c r="D167" s="5">
        <v>3789010</v>
      </c>
    </row>
    <row r="168" spans="1:7" ht="15.75">
      <c r="A168" s="5" t="s">
        <v>54</v>
      </c>
      <c r="F168" s="5">
        <v>1789010</v>
      </c>
      <c r="G168" s="5">
        <v>1123450</v>
      </c>
    </row>
    <row r="169" spans="1:7" ht="15.75">
      <c r="A169" s="5" t="s">
        <v>40</v>
      </c>
      <c r="C169" s="5">
        <v>10345670</v>
      </c>
      <c r="D169" s="5">
        <v>8345670</v>
      </c>
      <c r="E169" s="5">
        <v>8901230</v>
      </c>
      <c r="F169" s="5">
        <v>7345670</v>
      </c>
      <c r="G169" s="5">
        <v>6789010</v>
      </c>
    </row>
    <row r="170" spans="1:7" ht="15.75">
      <c r="A170" s="5" t="s">
        <v>41</v>
      </c>
      <c r="C170" s="5">
        <v>8901230</v>
      </c>
      <c r="D170" s="5">
        <v>7901230</v>
      </c>
      <c r="E170" s="5">
        <v>6567890</v>
      </c>
      <c r="F170" s="5">
        <v>6901230</v>
      </c>
      <c r="G170" s="5">
        <v>5345670</v>
      </c>
    </row>
    <row r="171" spans="1:7" ht="15.75">
      <c r="A171" s="5" t="s">
        <v>42</v>
      </c>
      <c r="C171" s="5">
        <v>1567890</v>
      </c>
      <c r="D171" s="5">
        <v>1567890</v>
      </c>
      <c r="E171" s="5">
        <v>1123450</v>
      </c>
      <c r="F171" s="5">
        <v>1567890</v>
      </c>
      <c r="G171" s="5">
        <v>1901230</v>
      </c>
    </row>
    <row r="172" spans="1:7" ht="15.75">
      <c r="A172" s="5" t="s">
        <v>45</v>
      </c>
      <c r="C172" s="5">
        <v>1123450</v>
      </c>
      <c r="D172" s="5">
        <v>1123450</v>
      </c>
      <c r="E172" s="5">
        <v>1789010</v>
      </c>
      <c r="F172" s="5">
        <v>1123450</v>
      </c>
      <c r="G172" s="5">
        <v>1567890</v>
      </c>
    </row>
    <row r="173" spans="1:7" ht="15.75">
      <c r="A173" s="5" t="s">
        <v>46</v>
      </c>
      <c r="C173" s="5">
        <v>6789010</v>
      </c>
      <c r="D173" s="5">
        <v>5789010</v>
      </c>
      <c r="E173" s="5">
        <v>5345670</v>
      </c>
      <c r="F173" s="5">
        <v>5789010</v>
      </c>
      <c r="G173" s="5">
        <v>4123450</v>
      </c>
    </row>
    <row r="174" spans="1:7" ht="15.75">
      <c r="A174" s="5" t="s">
        <v>47</v>
      </c>
      <c r="C174" s="5">
        <v>4345670</v>
      </c>
      <c r="G174" s="5">
        <v>4789010</v>
      </c>
    </row>
    <row r="175" spans="1:4" ht="15.75">
      <c r="A175" s="5" t="s">
        <v>63</v>
      </c>
      <c r="D175" s="5">
        <v>4345670</v>
      </c>
    </row>
    <row r="176" spans="1:7" ht="15.75">
      <c r="A176" s="7" t="s">
        <v>61</v>
      </c>
      <c r="B176" s="7"/>
      <c r="C176" s="7">
        <f>SUM(C165:C175)</f>
        <v>133985380</v>
      </c>
      <c r="D176" s="7">
        <f>SUM(D165:D175)</f>
        <v>113985380</v>
      </c>
      <c r="E176" s="7">
        <f>SUM(E165:E175)</f>
        <v>98072920</v>
      </c>
      <c r="F176" s="7">
        <f>SUM(F165:F175)</f>
        <v>91639710</v>
      </c>
      <c r="G176" s="7">
        <f>SUM(G165:G175)</f>
        <v>84207600</v>
      </c>
    </row>
    <row r="177" spans="1:7" ht="15.75">
      <c r="A177" s="7"/>
      <c r="B177" s="7"/>
      <c r="C177" s="7"/>
      <c r="D177" s="7"/>
      <c r="E177" s="7"/>
      <c r="F177" s="7"/>
      <c r="G177" s="7"/>
    </row>
    <row r="178" spans="1:7" ht="15.75">
      <c r="A178" s="5" t="s">
        <v>88</v>
      </c>
      <c r="C178" s="5">
        <f>C176*4%-5</f>
        <v>5359410.2</v>
      </c>
      <c r="D178" s="5">
        <f>D176*4%-5</f>
        <v>4559410.2</v>
      </c>
      <c r="E178" s="5">
        <f>E176*4%-7</f>
        <v>3922909.8000000003</v>
      </c>
      <c r="F178" s="5">
        <f>F176*4%-8</f>
        <v>3665580.4</v>
      </c>
      <c r="G178" s="5">
        <f>G176*4%-4</f>
        <v>3368300</v>
      </c>
    </row>
    <row r="179" spans="1:7" ht="15.75">
      <c r="A179" s="5" t="s">
        <v>85</v>
      </c>
      <c r="C179" s="5">
        <f>C176*4%-5</f>
        <v>5359410.2</v>
      </c>
      <c r="D179" s="5">
        <f>D176*4%-5</f>
        <v>4559410.2</v>
      </c>
      <c r="E179" s="5">
        <f>E176*4%-7</f>
        <v>3922909.8000000003</v>
      </c>
      <c r="F179" s="5">
        <f>F176*4%-8</f>
        <v>3665580.4</v>
      </c>
      <c r="G179" s="5">
        <f>G176*4%-4</f>
        <v>3368300</v>
      </c>
    </row>
    <row r="180" spans="1:7" ht="15.75">
      <c r="A180" s="5" t="s">
        <v>57</v>
      </c>
      <c r="C180" s="5">
        <f>C176*1%-4</f>
        <v>1339849.8</v>
      </c>
      <c r="D180" s="5">
        <f>D176*1%-4</f>
        <v>1139849.8</v>
      </c>
      <c r="E180" s="5">
        <f>E176*1%-9</f>
        <v>980720.2000000001</v>
      </c>
      <c r="F180" s="5">
        <f>F176*1%-7</f>
        <v>916390.1</v>
      </c>
      <c r="G180" s="5">
        <f>G176*1%-6</f>
        <v>842070</v>
      </c>
    </row>
    <row r="181" spans="1:7" ht="15.75">
      <c r="A181" s="5" t="s">
        <v>50</v>
      </c>
      <c r="C181" s="5">
        <v>7567890</v>
      </c>
      <c r="D181" s="5">
        <v>5789010</v>
      </c>
      <c r="E181" s="5">
        <v>5567890</v>
      </c>
      <c r="F181" s="5">
        <v>4901230</v>
      </c>
      <c r="G181" s="5">
        <v>4876540</v>
      </c>
    </row>
    <row r="184" spans="1:7" ht="15.75">
      <c r="A184" s="59" t="s">
        <v>3</v>
      </c>
      <c r="B184" s="59"/>
      <c r="C184" s="59"/>
      <c r="D184" s="59"/>
      <c r="E184" s="59"/>
      <c r="F184" s="59"/>
      <c r="G184" s="59"/>
    </row>
    <row r="185" spans="1:7" ht="15.75">
      <c r="A185" s="61" t="s">
        <v>78</v>
      </c>
      <c r="B185" s="61"/>
      <c r="C185" s="61"/>
      <c r="D185" s="61"/>
      <c r="E185" s="61"/>
      <c r="F185" s="62" t="s">
        <v>4</v>
      </c>
      <c r="G185" s="62"/>
    </row>
  </sheetData>
  <sheetProtection/>
  <mergeCells count="17">
    <mergeCell ref="A185:E185"/>
    <mergeCell ref="F185:G185"/>
    <mergeCell ref="A96:B96"/>
    <mergeCell ref="A92:G92"/>
    <mergeCell ref="F93:G93"/>
    <mergeCell ref="A93:E93"/>
    <mergeCell ref="A139:E139"/>
    <mergeCell ref="F139:G139"/>
    <mergeCell ref="A117:B117"/>
    <mergeCell ref="A138:G138"/>
    <mergeCell ref="A143:B143"/>
    <mergeCell ref="A162:B162"/>
    <mergeCell ref="A184:G184"/>
    <mergeCell ref="A4:G4"/>
    <mergeCell ref="A40:G40"/>
    <mergeCell ref="A49:B49"/>
    <mergeCell ref="A74:B74"/>
  </mergeCells>
  <hyperlinks>
    <hyperlink ref="F93" r:id="rId1" display="www.grupogestion.com.co"/>
    <hyperlink ref="F139" r:id="rId2" display="www.grupogestion.com.co"/>
    <hyperlink ref="F185" r:id="rId3" display="www.grupogestion.com.co"/>
  </hyperlink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K12" sqref="K12"/>
    </sheetView>
  </sheetViews>
  <sheetFormatPr defaultColWidth="11.421875" defaultRowHeight="12.75"/>
  <cols>
    <col min="1" max="2" width="19.421875" style="1" customWidth="1"/>
    <col min="3" max="3" width="8.00390625" style="1" customWidth="1"/>
    <col min="4" max="4" width="8.421875" style="1" customWidth="1"/>
    <col min="5" max="5" width="11.8515625" style="1" customWidth="1"/>
    <col min="6" max="6" width="13.421875" style="1" customWidth="1"/>
    <col min="7" max="7" width="9.421875" style="1" customWidth="1"/>
    <col min="8" max="8" width="11.7109375" style="1" bestFit="1" customWidth="1"/>
    <col min="9" max="9" width="23.28125" style="1" customWidth="1"/>
    <col min="10" max="16384" width="11.421875" style="1" customWidth="1"/>
  </cols>
  <sheetData>
    <row r="1" spans="1:9" ht="26.25">
      <c r="A1" s="63" t="s">
        <v>227</v>
      </c>
      <c r="B1" s="64"/>
      <c r="C1" s="64"/>
      <c r="D1" s="64"/>
      <c r="E1" s="64"/>
      <c r="F1" s="64"/>
      <c r="G1" s="64"/>
      <c r="H1" s="64"/>
      <c r="I1" s="65"/>
    </row>
    <row r="2" spans="1:9" ht="26.25">
      <c r="A2" s="66" t="s">
        <v>228</v>
      </c>
      <c r="B2" s="67"/>
      <c r="C2" s="67"/>
      <c r="D2" s="67"/>
      <c r="E2" s="67"/>
      <c r="F2" s="67"/>
      <c r="G2" s="67"/>
      <c r="H2" s="67"/>
      <c r="I2" s="68"/>
    </row>
    <row r="4" spans="1:9" ht="26.25">
      <c r="A4" s="20" t="s">
        <v>235</v>
      </c>
      <c r="B4" s="28"/>
      <c r="C4" s="69" t="s">
        <v>89</v>
      </c>
      <c r="D4" s="70"/>
      <c r="E4" s="22" t="s">
        <v>2</v>
      </c>
      <c r="F4" s="20" t="s">
        <v>236</v>
      </c>
      <c r="G4" s="23" t="s">
        <v>229</v>
      </c>
      <c r="H4" s="20" t="s">
        <v>230</v>
      </c>
      <c r="I4" s="20" t="s">
        <v>232</v>
      </c>
    </row>
    <row r="5" spans="1:9" ht="26.25">
      <c r="A5" s="24" t="s">
        <v>1</v>
      </c>
      <c r="B5" s="21"/>
      <c r="C5" s="71" t="s">
        <v>1</v>
      </c>
      <c r="D5" s="72"/>
      <c r="E5" s="25"/>
      <c r="F5" s="24" t="s">
        <v>186</v>
      </c>
      <c r="G5" s="26"/>
      <c r="H5" s="24" t="s">
        <v>231</v>
      </c>
      <c r="I5" s="27"/>
    </row>
    <row r="6" spans="1:9" ht="26.25">
      <c r="A6" s="3"/>
      <c r="B6" s="2"/>
      <c r="C6" s="2"/>
      <c r="D6" s="2"/>
      <c r="E6" s="2"/>
      <c r="F6" s="2"/>
      <c r="G6" s="2"/>
      <c r="H6" s="2"/>
      <c r="I6" s="29"/>
    </row>
    <row r="7" spans="1:9" ht="26.25">
      <c r="A7" s="32"/>
      <c r="B7" s="2"/>
      <c r="C7" s="2">
        <v>0</v>
      </c>
      <c r="D7" s="2">
        <v>95</v>
      </c>
      <c r="E7" s="30">
        <v>0</v>
      </c>
      <c r="F7" s="2">
        <v>0</v>
      </c>
      <c r="G7" s="2">
        <v>0</v>
      </c>
      <c r="H7" s="2">
        <v>0</v>
      </c>
      <c r="I7" s="29">
        <v>0</v>
      </c>
    </row>
    <row r="8" spans="1:9" ht="26.25">
      <c r="A8" s="32"/>
      <c r="B8" s="2"/>
      <c r="C8" s="2"/>
      <c r="D8" s="2"/>
      <c r="E8" s="30"/>
      <c r="F8" s="2"/>
      <c r="G8" s="2"/>
      <c r="H8" s="2"/>
      <c r="I8" s="29"/>
    </row>
    <row r="9" spans="1:9" ht="26.25">
      <c r="A9" s="32"/>
      <c r="B9" s="2"/>
      <c r="C9" s="2"/>
      <c r="D9" s="2"/>
      <c r="E9" s="30"/>
      <c r="F9" s="2"/>
      <c r="G9" s="2"/>
      <c r="H9" s="2"/>
      <c r="I9" s="29"/>
    </row>
    <row r="10" spans="1:9" ht="26.25">
      <c r="A10" s="32"/>
      <c r="B10" s="2"/>
      <c r="C10" s="2">
        <v>95</v>
      </c>
      <c r="D10" s="2">
        <v>150</v>
      </c>
      <c r="E10" s="30">
        <v>0.19</v>
      </c>
      <c r="F10" s="2">
        <f>(A10-95)*E10</f>
        <v>-18.05</v>
      </c>
      <c r="G10" s="2">
        <v>0</v>
      </c>
      <c r="H10" s="2">
        <f>+F10+G10</f>
        <v>-18.05</v>
      </c>
      <c r="I10" s="29">
        <f>+H10*26841</f>
        <v>-484480.05000000005</v>
      </c>
    </row>
    <row r="11" spans="1:9" ht="26.25">
      <c r="A11" s="32"/>
      <c r="B11" s="2"/>
      <c r="C11" s="2"/>
      <c r="D11" s="2"/>
      <c r="E11" s="30"/>
      <c r="F11" s="2"/>
      <c r="G11" s="2"/>
      <c r="H11" s="2"/>
      <c r="I11" s="29"/>
    </row>
    <row r="12" spans="1:9" ht="26.25">
      <c r="A12" s="32"/>
      <c r="B12" s="2"/>
      <c r="C12" s="2"/>
      <c r="D12" s="2"/>
      <c r="E12" s="30"/>
      <c r="F12" s="2"/>
      <c r="G12" s="2"/>
      <c r="H12" s="2"/>
      <c r="I12" s="29"/>
    </row>
    <row r="13" spans="1:9" ht="26.25">
      <c r="A13" s="32">
        <v>256.1</v>
      </c>
      <c r="B13" s="2"/>
      <c r="C13" s="2">
        <v>150</v>
      </c>
      <c r="D13" s="2">
        <v>360</v>
      </c>
      <c r="E13" s="30">
        <v>0.28</v>
      </c>
      <c r="F13" s="2">
        <f>(A13-150)*E13</f>
        <v>29.70800000000001</v>
      </c>
      <c r="G13" s="2">
        <v>10</v>
      </c>
      <c r="H13" s="2">
        <f>+F13+G13</f>
        <v>39.70800000000001</v>
      </c>
      <c r="I13" s="29">
        <f>+H13*26841</f>
        <v>1065802.4280000003</v>
      </c>
    </row>
    <row r="14" spans="1:9" ht="26.25">
      <c r="A14" s="32"/>
      <c r="B14" s="2"/>
      <c r="C14" s="2"/>
      <c r="D14" s="2"/>
      <c r="E14" s="31"/>
      <c r="F14" s="2"/>
      <c r="G14" s="2"/>
      <c r="H14" s="2"/>
      <c r="I14" s="29"/>
    </row>
    <row r="15" spans="1:9" ht="26.25">
      <c r="A15" s="32"/>
      <c r="B15" s="2"/>
      <c r="C15" s="2"/>
      <c r="D15" s="2"/>
      <c r="E15" s="31"/>
      <c r="F15" s="2"/>
      <c r="G15" s="2"/>
      <c r="H15" s="2"/>
      <c r="I15" s="29"/>
    </row>
    <row r="16" spans="1:9" ht="26.25">
      <c r="A16" s="32">
        <v>546.61</v>
      </c>
      <c r="B16" s="2"/>
      <c r="C16" s="2">
        <v>360</v>
      </c>
      <c r="D16" s="2" t="s">
        <v>233</v>
      </c>
      <c r="E16" s="30">
        <v>0.33</v>
      </c>
      <c r="F16" s="2">
        <f>(A16-360)*E16</f>
        <v>61.581300000000006</v>
      </c>
      <c r="G16" s="2">
        <v>69</v>
      </c>
      <c r="H16" s="2">
        <f>+F16+G16</f>
        <v>130.5813</v>
      </c>
      <c r="I16" s="29">
        <f>+H16*26841</f>
        <v>3504932.6733</v>
      </c>
    </row>
    <row r="17" spans="1:9" ht="26.25">
      <c r="A17" s="3"/>
      <c r="B17" s="2"/>
      <c r="C17" s="2" t="s">
        <v>234</v>
      </c>
      <c r="D17" s="2"/>
      <c r="E17" s="2"/>
      <c r="F17" s="2"/>
      <c r="G17" s="2"/>
      <c r="H17" s="2"/>
      <c r="I17" s="29"/>
    </row>
    <row r="18" spans="1:9" ht="26.25">
      <c r="A18" s="4"/>
      <c r="B18" s="19"/>
      <c r="C18" s="19"/>
      <c r="D18" s="19"/>
      <c r="E18" s="19"/>
      <c r="F18" s="19"/>
      <c r="G18" s="19"/>
      <c r="H18" s="19"/>
      <c r="I18" s="18"/>
    </row>
    <row r="20" spans="1:9" ht="26.25">
      <c r="A20" s="59" t="s">
        <v>237</v>
      </c>
      <c r="B20" s="59"/>
      <c r="C20" s="59"/>
      <c r="D20" s="59"/>
      <c r="E20" s="59"/>
      <c r="F20" s="59"/>
      <c r="G20" s="59"/>
      <c r="H20" s="59"/>
      <c r="I20" s="59"/>
    </row>
  </sheetData>
  <sheetProtection/>
  <mergeCells count="5">
    <mergeCell ref="A1:I1"/>
    <mergeCell ref="A2:I2"/>
    <mergeCell ref="C4:D4"/>
    <mergeCell ref="A20:I20"/>
    <mergeCell ref="C5:D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33CC"/>
  </sheetPr>
  <dimension ref="A1:G189"/>
  <sheetViews>
    <sheetView zoomScalePageLayoutView="0" workbookViewId="0" topLeftCell="A61">
      <selection activeCell="C69" sqref="C69"/>
    </sheetView>
  </sheetViews>
  <sheetFormatPr defaultColWidth="11.421875" defaultRowHeight="12.75"/>
  <cols>
    <col min="1" max="1" width="11.421875" style="5" customWidth="1"/>
    <col min="2" max="2" width="23.28125" style="5" customWidth="1"/>
    <col min="3" max="3" width="12.28125" style="5" customWidth="1"/>
    <col min="4" max="4" width="12.57421875" style="5" customWidth="1"/>
    <col min="5" max="5" width="13.140625" style="5" customWidth="1"/>
    <col min="6" max="6" width="12.7109375" style="5" customWidth="1"/>
    <col min="7" max="7" width="13.28125" style="5" customWidth="1"/>
    <col min="8" max="16384" width="11.421875" style="5" customWidth="1"/>
  </cols>
  <sheetData>
    <row r="1" spans="1:7" ht="22.5">
      <c r="A1" s="75" t="s">
        <v>285</v>
      </c>
      <c r="B1" s="75"/>
      <c r="C1" s="75"/>
      <c r="D1" s="75"/>
      <c r="E1" s="75"/>
      <c r="F1" s="75"/>
      <c r="G1" s="75"/>
    </row>
    <row r="2" spans="1:7" ht="15.75">
      <c r="A2" s="8"/>
      <c r="B2" s="8"/>
      <c r="C2" s="8"/>
      <c r="D2" s="8"/>
      <c r="E2" s="8"/>
      <c r="F2" s="8"/>
      <c r="G2" s="8"/>
    </row>
    <row r="3" spans="1:7" ht="15.75">
      <c r="A3" s="8"/>
      <c r="B3" s="8"/>
      <c r="C3" s="8"/>
      <c r="D3" s="8"/>
      <c r="E3" s="8"/>
      <c r="F3" s="8"/>
      <c r="G3" s="8"/>
    </row>
    <row r="4" spans="1:7" ht="25.5">
      <c r="A4" s="86" t="s">
        <v>6</v>
      </c>
      <c r="B4" s="86"/>
      <c r="C4" s="86"/>
      <c r="D4" s="86"/>
      <c r="E4" s="86"/>
      <c r="F4" s="86"/>
      <c r="G4" s="86"/>
    </row>
    <row r="5" spans="1:7" ht="15.75">
      <c r="A5" s="16"/>
      <c r="B5" s="16"/>
      <c r="C5" s="16"/>
      <c r="D5" s="16"/>
      <c r="E5" s="16"/>
      <c r="F5" s="16"/>
      <c r="G5" s="16"/>
    </row>
    <row r="7" spans="1:7" ht="18.75">
      <c r="A7" s="78" t="s">
        <v>187</v>
      </c>
      <c r="B7" s="79"/>
      <c r="C7" s="87" t="s">
        <v>282</v>
      </c>
      <c r="D7" s="88"/>
      <c r="E7" s="88"/>
      <c r="F7" s="88"/>
      <c r="G7" s="88"/>
    </row>
    <row r="8" spans="1:7" ht="18.75">
      <c r="A8" s="80" t="s">
        <v>188</v>
      </c>
      <c r="B8" s="81"/>
      <c r="C8" s="89" t="s">
        <v>281</v>
      </c>
      <c r="D8" s="90"/>
      <c r="E8" s="90"/>
      <c r="F8" s="90"/>
      <c r="G8" s="90"/>
    </row>
    <row r="11" spans="1:3" ht="18.75">
      <c r="A11" s="76" t="s">
        <v>73</v>
      </c>
      <c r="B11" s="77"/>
      <c r="C11" s="5" t="s">
        <v>287</v>
      </c>
    </row>
    <row r="12" ht="15.75">
      <c r="C12" s="5" t="s">
        <v>288</v>
      </c>
    </row>
    <row r="13" ht="15.75">
      <c r="A13" s="5" t="s">
        <v>189</v>
      </c>
    </row>
    <row r="14" ht="15.75">
      <c r="A14" s="5" t="s">
        <v>190</v>
      </c>
    </row>
    <row r="15" ht="15.75">
      <c r="A15" s="5" t="s">
        <v>191</v>
      </c>
    </row>
    <row r="17" ht="15.75">
      <c r="A17" s="5" t="s">
        <v>192</v>
      </c>
    </row>
    <row r="19" ht="15.75">
      <c r="A19" s="5" t="s">
        <v>193</v>
      </c>
    </row>
    <row r="20" ht="15.75">
      <c r="A20" s="5" t="s">
        <v>283</v>
      </c>
    </row>
    <row r="21" ht="15.75">
      <c r="A21" s="5" t="s">
        <v>284</v>
      </c>
    </row>
    <row r="23" ht="15.75">
      <c r="A23" s="5" t="s">
        <v>194</v>
      </c>
    </row>
    <row r="24" ht="15.75">
      <c r="A24" s="5" t="s">
        <v>195</v>
      </c>
    </row>
    <row r="27" spans="1:4" ht="15.75">
      <c r="A27" s="82" t="s">
        <v>64</v>
      </c>
      <c r="B27" s="83"/>
      <c r="C27" s="83"/>
      <c r="D27" s="84"/>
    </row>
    <row r="29" ht="15.75">
      <c r="A29" s="5" t="s">
        <v>201</v>
      </c>
    </row>
    <row r="30" ht="15.75">
      <c r="A30" s="5" t="s">
        <v>202</v>
      </c>
    </row>
    <row r="32" ht="15.75">
      <c r="A32" s="5" t="s">
        <v>203</v>
      </c>
    </row>
    <row r="33" ht="15.75">
      <c r="A33" s="5" t="s">
        <v>70</v>
      </c>
    </row>
    <row r="34" ht="15.75">
      <c r="A34" s="5" t="s">
        <v>204</v>
      </c>
    </row>
    <row r="36" ht="15.75">
      <c r="A36" s="5" t="s">
        <v>71</v>
      </c>
    </row>
    <row r="38" ht="15.75">
      <c r="A38" s="5" t="s">
        <v>205</v>
      </c>
    </row>
    <row r="40" ht="15.75">
      <c r="A40" s="5" t="s">
        <v>72</v>
      </c>
    </row>
    <row r="42" ht="15.75">
      <c r="A42" s="5" t="s">
        <v>206</v>
      </c>
    </row>
    <row r="44" ht="15.75">
      <c r="A44" s="5" t="s">
        <v>207</v>
      </c>
    </row>
    <row r="46" spans="1:7" ht="15.75">
      <c r="A46" s="85" t="s">
        <v>286</v>
      </c>
      <c r="B46" s="85"/>
      <c r="C46" s="85"/>
      <c r="D46" s="85"/>
      <c r="E46" s="85"/>
      <c r="F46" s="85"/>
      <c r="G46" s="85"/>
    </row>
    <row r="47" ht="15.75">
      <c r="A47" s="7" t="s">
        <v>196</v>
      </c>
    </row>
    <row r="49" spans="1:7" ht="15.75">
      <c r="A49" s="73" t="s">
        <v>28</v>
      </c>
      <c r="B49" s="74"/>
      <c r="C49" s="37" t="s">
        <v>29</v>
      </c>
      <c r="D49" s="37" t="s">
        <v>30</v>
      </c>
      <c r="E49" s="37" t="s">
        <v>30</v>
      </c>
      <c r="F49" s="37" t="s">
        <v>30</v>
      </c>
      <c r="G49" s="37" t="s">
        <v>30</v>
      </c>
    </row>
    <row r="50" spans="1:7" ht="15.75">
      <c r="A50" s="35"/>
      <c r="B50" s="36"/>
      <c r="C50" s="38" t="s">
        <v>31</v>
      </c>
      <c r="D50" s="38" t="s">
        <v>32</v>
      </c>
      <c r="E50" s="38" t="s">
        <v>74</v>
      </c>
      <c r="F50" s="38" t="s">
        <v>34</v>
      </c>
      <c r="G50" s="38" t="s">
        <v>35</v>
      </c>
    </row>
    <row r="52" spans="1:7" ht="15.75">
      <c r="A52" s="5" t="s">
        <v>36</v>
      </c>
      <c r="C52" s="5">
        <v>17987650</v>
      </c>
      <c r="D52" s="5">
        <v>16509870</v>
      </c>
      <c r="E52" s="5">
        <v>15443210</v>
      </c>
      <c r="F52" s="5">
        <v>14309870</v>
      </c>
      <c r="G52" s="5">
        <v>13287650</v>
      </c>
    </row>
    <row r="53" spans="1:4" ht="15.75">
      <c r="A53" s="5" t="s">
        <v>91</v>
      </c>
      <c r="C53" s="5">
        <v>1321090</v>
      </c>
      <c r="D53" s="5">
        <v>1543210</v>
      </c>
    </row>
    <row r="54" spans="1:7" ht="15.75">
      <c r="A54" s="5" t="s">
        <v>54</v>
      </c>
      <c r="F54" s="5">
        <v>7543210</v>
      </c>
      <c r="G54" s="5">
        <v>6321090</v>
      </c>
    </row>
    <row r="55" spans="1:7" ht="15.75">
      <c r="A55" s="5" t="s">
        <v>40</v>
      </c>
      <c r="C55" s="5">
        <v>9165430</v>
      </c>
      <c r="D55" s="5">
        <v>8587650</v>
      </c>
      <c r="E55" s="5">
        <v>7987650</v>
      </c>
      <c r="F55" s="5">
        <v>7187650</v>
      </c>
      <c r="G55" s="5">
        <v>6965430</v>
      </c>
    </row>
    <row r="56" spans="1:7" ht="15.75">
      <c r="A56" s="5" t="s">
        <v>41</v>
      </c>
      <c r="C56" s="5">
        <v>15109870</v>
      </c>
      <c r="D56" s="5">
        <v>14321090</v>
      </c>
      <c r="E56" s="5">
        <v>13321090</v>
      </c>
      <c r="F56" s="5">
        <v>12234560</v>
      </c>
      <c r="G56" s="5">
        <v>11345670</v>
      </c>
    </row>
    <row r="57" spans="1:7" ht="15.75">
      <c r="A57" s="5" t="s">
        <v>42</v>
      </c>
      <c r="C57" s="5">
        <f>C56*12%+6</f>
        <v>1813190.4</v>
      </c>
      <c r="D57" s="5">
        <f>D56*12%-1</f>
        <v>1718529.8</v>
      </c>
      <c r="E57" s="5">
        <f>E56*12%-1</f>
        <v>1598529.8</v>
      </c>
      <c r="F57" s="5">
        <f>F56*12%+3</f>
        <v>1468150.2</v>
      </c>
      <c r="G57" s="5">
        <f>G56*12%</f>
        <v>1361480.4</v>
      </c>
    </row>
    <row r="58" spans="1:7" ht="15.75">
      <c r="A58" s="5" t="s">
        <v>210</v>
      </c>
      <c r="F58" s="5">
        <v>15109870</v>
      </c>
      <c r="G58" s="5">
        <v>12109870</v>
      </c>
    </row>
    <row r="59" spans="1:6" ht="15.75">
      <c r="A59" s="5" t="s">
        <v>211</v>
      </c>
      <c r="E59" s="5">
        <v>14109870</v>
      </c>
      <c r="F59" s="10"/>
    </row>
    <row r="60" spans="1:7" ht="15.75">
      <c r="A60" s="5" t="s">
        <v>212</v>
      </c>
      <c r="C60" s="5">
        <v>5000000</v>
      </c>
      <c r="D60" s="5">
        <v>4500000</v>
      </c>
      <c r="E60" s="5">
        <v>4000000</v>
      </c>
      <c r="F60" s="5">
        <v>3500000</v>
      </c>
      <c r="G60" s="5">
        <v>3000000</v>
      </c>
    </row>
    <row r="61" spans="1:7" ht="15.75">
      <c r="A61" s="5" t="s">
        <v>46</v>
      </c>
      <c r="C61" s="5">
        <v>9234560</v>
      </c>
      <c r="D61" s="5">
        <v>8645670</v>
      </c>
      <c r="E61" s="5">
        <v>7999780</v>
      </c>
      <c r="F61" s="5">
        <v>7267890</v>
      </c>
      <c r="G61" s="5">
        <v>7176540</v>
      </c>
    </row>
    <row r="62" spans="1:7" ht="15.75">
      <c r="A62" s="5" t="s">
        <v>213</v>
      </c>
      <c r="C62" s="5">
        <v>2765430</v>
      </c>
      <c r="F62" s="10"/>
      <c r="G62" s="5">
        <v>2210980</v>
      </c>
    </row>
    <row r="63" spans="1:7" ht="15.75">
      <c r="A63" s="5" t="s">
        <v>214</v>
      </c>
      <c r="C63" s="9"/>
      <c r="D63" s="9">
        <v>8321090</v>
      </c>
      <c r="E63" s="9"/>
      <c r="F63" s="17"/>
      <c r="G63" s="9"/>
    </row>
    <row r="64" spans="1:7" ht="15.75">
      <c r="A64" s="7" t="s">
        <v>75</v>
      </c>
      <c r="B64" s="7"/>
      <c r="C64" s="7">
        <f>SUM(C52:C63)</f>
        <v>62397220.4</v>
      </c>
      <c r="D64" s="7">
        <f>SUM(D52:D63)</f>
        <v>64147109.8</v>
      </c>
      <c r="E64" s="7">
        <f>SUM(E52:E63)</f>
        <v>64460129.8</v>
      </c>
      <c r="F64" s="7">
        <f>SUM(F52:F63)</f>
        <v>68621200.2</v>
      </c>
      <c r="G64" s="7">
        <f>SUM(G52:G63)</f>
        <v>63778710.4</v>
      </c>
    </row>
    <row r="66" spans="1:7" ht="15.75">
      <c r="A66" s="5" t="s">
        <v>208</v>
      </c>
      <c r="C66" s="5">
        <v>3500000</v>
      </c>
      <c r="D66" s="5">
        <v>3000000</v>
      </c>
      <c r="E66" s="5">
        <v>2500000</v>
      </c>
      <c r="F66" s="5">
        <v>2000000</v>
      </c>
      <c r="G66" s="5">
        <v>1500000</v>
      </c>
    </row>
    <row r="67" spans="1:7" ht="15.75">
      <c r="A67" s="5" t="s">
        <v>209</v>
      </c>
      <c r="C67" s="5">
        <f>(C52+C53+C55+C60+C61)*4%+1</f>
        <v>1708350.2</v>
      </c>
      <c r="D67" s="5">
        <f>(D52+D53+D55+D60+D61)*4%+4</f>
        <v>1591460</v>
      </c>
      <c r="E67" s="5">
        <f>(E52+E53+E55+E60+E61)*4%+4</f>
        <v>1417229.6</v>
      </c>
      <c r="F67" s="5">
        <f>(F52+F53+F54+F55+F60+F61)*4%+5</f>
        <v>1592349.8</v>
      </c>
      <c r="G67" s="5">
        <f>(G52+G53+G54+G55+G60+G61)*4%+2</f>
        <v>1470030.4000000001</v>
      </c>
    </row>
    <row r="68" spans="1:7" ht="15.75">
      <c r="A68" s="5" t="s">
        <v>51</v>
      </c>
      <c r="C68" s="5">
        <f>(C52+C53+C55+C60+C61)*1%+3</f>
        <v>427090.3</v>
      </c>
      <c r="D68" s="5">
        <f>(D52+D53+D55+D60+D61)*1%-4</f>
        <v>397860</v>
      </c>
      <c r="E68" s="5">
        <f>(E52+E53+E55+E60+E61)*1%+4</f>
        <v>354310.4</v>
      </c>
      <c r="F68" s="5">
        <f>(F52+F53+F54+F55+F60+F61)*1%+4</f>
        <v>398090.2</v>
      </c>
      <c r="G68" s="5">
        <f>(G52+G53+G54+G55+G60+G61)*1%+3</f>
        <v>367510.10000000003</v>
      </c>
    </row>
    <row r="69" spans="1:7" ht="15.75">
      <c r="A69" s="5" t="s">
        <v>92</v>
      </c>
      <c r="C69" s="5">
        <f>(C52+C53+C55+C60+C61)*4%+1</f>
        <v>1708350.2</v>
      </c>
      <c r="D69" s="5">
        <f>(D52+D53+D55+D60+D61)*4%+4</f>
        <v>1591460</v>
      </c>
      <c r="E69" s="5">
        <f>(E52+E53+E55+E60+E61)*4%+4</f>
        <v>1417229.6</v>
      </c>
      <c r="F69" s="5">
        <f>(F52+F53+F54+F55+F60+F61)*4%+5</f>
        <v>1592349.8</v>
      </c>
      <c r="G69" s="5">
        <f>(G52+G53+G54+G55+G60+G61)*4%+2</f>
        <v>1470030.4000000001</v>
      </c>
    </row>
    <row r="70" spans="1:7" ht="15.75">
      <c r="A70" s="5" t="s">
        <v>93</v>
      </c>
      <c r="C70" s="33">
        <v>3600000</v>
      </c>
      <c r="D70" s="33">
        <v>3100000</v>
      </c>
      <c r="E70" s="33">
        <v>2600000</v>
      </c>
      <c r="F70" s="33">
        <v>2100000</v>
      </c>
      <c r="G70" s="33">
        <v>1600000</v>
      </c>
    </row>
    <row r="71" spans="3:7" ht="15.75">
      <c r="C71" s="33"/>
      <c r="D71" s="33"/>
      <c r="E71" s="33"/>
      <c r="F71" s="33"/>
      <c r="G71" s="33"/>
    </row>
    <row r="72" spans="1:4" ht="15.75">
      <c r="A72" s="82" t="s">
        <v>197</v>
      </c>
      <c r="B72" s="83"/>
      <c r="C72" s="83"/>
      <c r="D72" s="84"/>
    </row>
    <row r="74" spans="1:7" ht="15.75">
      <c r="A74" s="73" t="s">
        <v>28</v>
      </c>
      <c r="B74" s="74"/>
      <c r="C74" s="37" t="s">
        <v>29</v>
      </c>
      <c r="D74" s="37" t="s">
        <v>30</v>
      </c>
      <c r="E74" s="37" t="s">
        <v>30</v>
      </c>
      <c r="F74" s="37" t="s">
        <v>30</v>
      </c>
      <c r="G74" s="37" t="s">
        <v>30</v>
      </c>
    </row>
    <row r="75" spans="1:7" ht="15.75">
      <c r="A75" s="35"/>
      <c r="B75" s="36"/>
      <c r="C75" s="38" t="s">
        <v>31</v>
      </c>
      <c r="D75" s="38" t="s">
        <v>32</v>
      </c>
      <c r="E75" s="38" t="s">
        <v>74</v>
      </c>
      <c r="F75" s="38" t="s">
        <v>34</v>
      </c>
      <c r="G75" s="38" t="s">
        <v>35</v>
      </c>
    </row>
    <row r="77" spans="1:7" ht="15.75">
      <c r="A77" s="5" t="s">
        <v>36</v>
      </c>
      <c r="C77" s="5">
        <f>(C52-1000000)*12</f>
        <v>203851800</v>
      </c>
      <c r="D77" s="5">
        <f>(D52-1000000)*12</f>
        <v>186118440</v>
      </c>
      <c r="E77" s="5">
        <f>(E52-1000000)*12</f>
        <v>173318520</v>
      </c>
      <c r="F77" s="5">
        <f>(F52-1000000)*12</f>
        <v>159718440</v>
      </c>
      <c r="G77" s="5">
        <f>(G52-1000000)*12</f>
        <v>147451800</v>
      </c>
    </row>
    <row r="78" spans="1:3" ht="15.75">
      <c r="A78" s="5" t="s">
        <v>53</v>
      </c>
      <c r="C78" s="5">
        <v>1789010</v>
      </c>
    </row>
    <row r="79" spans="1:4" ht="15.75">
      <c r="A79" s="5" t="s">
        <v>38</v>
      </c>
      <c r="D79" s="5">
        <v>5123450</v>
      </c>
    </row>
    <row r="80" spans="1:7" ht="15.75">
      <c r="A80" s="5" t="s">
        <v>54</v>
      </c>
      <c r="F80" s="5">
        <v>3012340</v>
      </c>
      <c r="G80" s="5">
        <v>2456780</v>
      </c>
    </row>
    <row r="81" spans="1:7" ht="15.75">
      <c r="A81" s="5" t="s">
        <v>55</v>
      </c>
      <c r="C81" s="5">
        <f>C77/12</f>
        <v>16987650</v>
      </c>
      <c r="D81" s="5">
        <f>D77/12</f>
        <v>15509870</v>
      </c>
      <c r="E81" s="5">
        <f>E77/12</f>
        <v>14443210</v>
      </c>
      <c r="F81" s="5">
        <f>F77/12</f>
        <v>13309870</v>
      </c>
      <c r="G81" s="5">
        <f>G77/12</f>
        <v>12287650</v>
      </c>
    </row>
    <row r="82" spans="1:7" ht="15.75">
      <c r="A82" s="5" t="s">
        <v>41</v>
      </c>
      <c r="C82" s="5">
        <v>17123450</v>
      </c>
      <c r="D82" s="5">
        <v>16234560</v>
      </c>
      <c r="E82" s="5">
        <v>14345670</v>
      </c>
      <c r="F82" s="5">
        <v>13456780</v>
      </c>
      <c r="G82" s="5">
        <v>12567890</v>
      </c>
    </row>
    <row r="83" spans="1:7" ht="15.75">
      <c r="A83" s="5" t="s">
        <v>42</v>
      </c>
      <c r="C83" s="5">
        <f>C82*12%-4</f>
        <v>2054810</v>
      </c>
      <c r="D83" s="5">
        <f>D82*12%+3</f>
        <v>1948150.2</v>
      </c>
      <c r="E83" s="5">
        <f>E82*12%</f>
        <v>1721480.4</v>
      </c>
      <c r="F83" s="5">
        <f>F82*12%-4</f>
        <v>1614809.5999999999</v>
      </c>
      <c r="G83" s="5">
        <f>G82*12%+3</f>
        <v>1508149.8</v>
      </c>
    </row>
    <row r="84" spans="1:7" ht="15.75">
      <c r="A84" s="5" t="s">
        <v>45</v>
      </c>
      <c r="C84" s="5">
        <v>4500000</v>
      </c>
      <c r="D84" s="5">
        <v>4000000</v>
      </c>
      <c r="E84" s="5">
        <v>3500000</v>
      </c>
      <c r="F84" s="5">
        <v>3000000</v>
      </c>
      <c r="G84" s="5">
        <v>2500000</v>
      </c>
    </row>
    <row r="85" spans="1:7" ht="15.75">
      <c r="A85" s="5" t="s">
        <v>46</v>
      </c>
      <c r="C85" s="9">
        <v>8789010</v>
      </c>
      <c r="D85" s="9">
        <v>7123450</v>
      </c>
      <c r="E85" s="9">
        <v>6678900</v>
      </c>
      <c r="F85" s="9">
        <v>5012340</v>
      </c>
      <c r="G85" s="9">
        <v>5567890</v>
      </c>
    </row>
    <row r="86" spans="1:7" ht="15.75">
      <c r="A86" s="7" t="s">
        <v>75</v>
      </c>
      <c r="C86" s="7">
        <f>SUM(C77:C85)</f>
        <v>255095730</v>
      </c>
      <c r="D86" s="7">
        <f>SUM(D77:D85)</f>
        <v>236057920.2</v>
      </c>
      <c r="E86" s="7">
        <f>SUM(E77:E85)</f>
        <v>214007780.4</v>
      </c>
      <c r="F86" s="7">
        <f>SUM(F77:F85)</f>
        <v>199124579.6</v>
      </c>
      <c r="G86" s="7">
        <f>SUM(G77:G85)</f>
        <v>184340159.8</v>
      </c>
    </row>
    <row r="88" spans="1:7" ht="15.75">
      <c r="A88" s="5" t="s">
        <v>208</v>
      </c>
      <c r="C88" s="5">
        <f>3300000*12</f>
        <v>39600000</v>
      </c>
      <c r="D88" s="5">
        <f>3000000*12</f>
        <v>36000000</v>
      </c>
      <c r="E88" s="5">
        <f>2700000*12</f>
        <v>32400000</v>
      </c>
      <c r="F88" s="5">
        <f>2400000*12</f>
        <v>28800000</v>
      </c>
      <c r="G88" s="5">
        <f>2100000*12</f>
        <v>25200000</v>
      </c>
    </row>
    <row r="89" spans="1:7" ht="15.75">
      <c r="A89" s="5" t="s">
        <v>209</v>
      </c>
      <c r="C89" s="5">
        <f>(C77+C81+C84+C85)*4%+2</f>
        <v>9365140.4</v>
      </c>
      <c r="D89" s="5">
        <f>(D77+D79+D81+D84+D85)*4%+2</f>
        <v>8715010.4</v>
      </c>
      <c r="E89" s="5">
        <f>(E77+E81+E84+E85)*4%+5</f>
        <v>7917630.2</v>
      </c>
      <c r="F89" s="5">
        <f>(F77+F80+F81+F84+F85)*4%</f>
        <v>7362119.600000001</v>
      </c>
      <c r="G89" s="5">
        <f>(G77+G80+G81+G84+G85)*4%+5</f>
        <v>6810569.8</v>
      </c>
    </row>
    <row r="90" spans="1:7" ht="15.75">
      <c r="A90" s="5" t="s">
        <v>215</v>
      </c>
      <c r="C90" s="9">
        <f>(C77+C78+C81+C84+C85)*1%+5</f>
        <v>2359179.7</v>
      </c>
      <c r="D90" s="9">
        <f>(D77+D78+D79+D81+D84+D85)*1%-2</f>
        <v>2178750.1</v>
      </c>
      <c r="E90" s="9">
        <f>(E77+E78+E81+E84+E85)*1%+4</f>
        <v>1979410.3</v>
      </c>
      <c r="F90" s="9">
        <f>(F77+F78+F80+F81+F84+F85)*1%</f>
        <v>1840529.9000000001</v>
      </c>
      <c r="G90" s="9">
        <f>(G77+G78+G80+G81+G84+G85)*1%-1</f>
        <v>1702640.2</v>
      </c>
    </row>
    <row r="91" spans="1:7" ht="15.75">
      <c r="A91" s="7" t="s">
        <v>75</v>
      </c>
      <c r="C91" s="7">
        <f>SUM(C88:C90)</f>
        <v>51324320.1</v>
      </c>
      <c r="D91" s="7">
        <f>SUM(D88:D90)</f>
        <v>46893760.5</v>
      </c>
      <c r="E91" s="7">
        <f>SUM(E88:E90)</f>
        <v>42297040.5</v>
      </c>
      <c r="F91" s="7">
        <f>SUM(F88:F90)</f>
        <v>38002649.5</v>
      </c>
      <c r="G91" s="7">
        <f>SUM(G88:G90)</f>
        <v>33713210</v>
      </c>
    </row>
    <row r="94" spans="1:7" ht="15.75">
      <c r="A94" s="85" t="s">
        <v>90</v>
      </c>
      <c r="B94" s="85"/>
      <c r="C94" s="85"/>
      <c r="D94" s="85"/>
      <c r="E94" s="85"/>
      <c r="F94" s="85"/>
      <c r="G94" s="85"/>
    </row>
    <row r="95" spans="1:5" ht="15.75">
      <c r="A95" s="7" t="s">
        <v>198</v>
      </c>
      <c r="E95" s="10"/>
    </row>
    <row r="97" spans="1:7" ht="15.75">
      <c r="A97" s="73" t="s">
        <v>28</v>
      </c>
      <c r="B97" s="74"/>
      <c r="C97" s="37" t="s">
        <v>29</v>
      </c>
      <c r="D97" s="37" t="s">
        <v>30</v>
      </c>
      <c r="E97" s="37" t="s">
        <v>30</v>
      </c>
      <c r="F97" s="37" t="s">
        <v>30</v>
      </c>
      <c r="G97" s="37" t="s">
        <v>30</v>
      </c>
    </row>
    <row r="98" spans="1:7" ht="15.75">
      <c r="A98" s="35"/>
      <c r="B98" s="36"/>
      <c r="C98" s="38" t="s">
        <v>31</v>
      </c>
      <c r="D98" s="38" t="s">
        <v>32</v>
      </c>
      <c r="E98" s="38" t="s">
        <v>74</v>
      </c>
      <c r="F98" s="38" t="s">
        <v>34</v>
      </c>
      <c r="G98" s="38" t="s">
        <v>35</v>
      </c>
    </row>
    <row r="100" spans="1:7" ht="15.75">
      <c r="A100" s="5" t="s">
        <v>36</v>
      </c>
      <c r="C100" s="5">
        <f>(C52-500000)*12</f>
        <v>209851800</v>
      </c>
      <c r="D100" s="5">
        <f>(D52-500000)*12</f>
        <v>192118440</v>
      </c>
      <c r="E100" s="5">
        <f>(E52-500000)*12</f>
        <v>179318520</v>
      </c>
      <c r="F100" s="5">
        <f>(F52-500000)*12</f>
        <v>165718440</v>
      </c>
      <c r="G100" s="5">
        <f>(G52-500000)*12</f>
        <v>153451800</v>
      </c>
    </row>
    <row r="101" spans="1:3" ht="15.75">
      <c r="A101" s="5" t="s">
        <v>37</v>
      </c>
      <c r="C101" s="5">
        <v>1789010</v>
      </c>
    </row>
    <row r="102" spans="1:4" ht="15.75">
      <c r="A102" s="5" t="s">
        <v>60</v>
      </c>
      <c r="D102" s="5">
        <v>6123450</v>
      </c>
    </row>
    <row r="103" spans="1:7" ht="15.75">
      <c r="A103" s="5" t="s">
        <v>54</v>
      </c>
      <c r="F103" s="5">
        <v>5345670</v>
      </c>
      <c r="G103" s="5">
        <v>3012340</v>
      </c>
    </row>
    <row r="104" spans="1:7" ht="15.75">
      <c r="A104" s="5" t="s">
        <v>55</v>
      </c>
      <c r="C104" s="5">
        <f>C100/12</f>
        <v>17487650</v>
      </c>
      <c r="D104" s="5">
        <f>D100/12</f>
        <v>16009870</v>
      </c>
      <c r="E104" s="5">
        <f>E100/12</f>
        <v>14943210</v>
      </c>
      <c r="F104" s="5">
        <f>F100/12</f>
        <v>13809870</v>
      </c>
      <c r="G104" s="5">
        <f>G100/12</f>
        <v>12787650</v>
      </c>
    </row>
    <row r="105" spans="1:7" ht="15.75">
      <c r="A105" s="5" t="s">
        <v>41</v>
      </c>
      <c r="C105" s="5">
        <v>17567890</v>
      </c>
      <c r="D105" s="5">
        <v>16678900</v>
      </c>
      <c r="E105" s="5">
        <v>15123450</v>
      </c>
      <c r="F105" s="5">
        <v>14234560</v>
      </c>
      <c r="G105" s="5">
        <v>13345670</v>
      </c>
    </row>
    <row r="106" spans="1:7" ht="15.75">
      <c r="A106" s="5" t="s">
        <v>42</v>
      </c>
      <c r="C106" s="5">
        <f>C105*12%+2</f>
        <v>2108148.8</v>
      </c>
      <c r="D106" s="5">
        <f>D105*12%-4</f>
        <v>2001464</v>
      </c>
      <c r="E106" s="5">
        <f>E105*12%+5</f>
        <v>1814819</v>
      </c>
      <c r="F106" s="5">
        <f>F105*12%-4</f>
        <v>1708143.2</v>
      </c>
      <c r="G106" s="5">
        <f>G105*12%+2</f>
        <v>1601482.4</v>
      </c>
    </row>
    <row r="107" spans="1:7" ht="15.75">
      <c r="A107" s="5" t="s">
        <v>45</v>
      </c>
      <c r="C107" s="5">
        <v>4300000</v>
      </c>
      <c r="D107" s="5">
        <v>4000000</v>
      </c>
      <c r="E107" s="5">
        <v>3700000</v>
      </c>
      <c r="F107" s="5">
        <v>3400000</v>
      </c>
      <c r="G107" s="5">
        <v>3100000</v>
      </c>
    </row>
    <row r="108" spans="1:7" ht="15.75">
      <c r="A108" s="5" t="s">
        <v>46</v>
      </c>
      <c r="C108" s="9">
        <v>9789010</v>
      </c>
      <c r="D108" s="9">
        <v>8123450</v>
      </c>
      <c r="E108" s="9">
        <v>7901230</v>
      </c>
      <c r="F108" s="9">
        <v>7678900</v>
      </c>
      <c r="G108" s="9">
        <v>6012340</v>
      </c>
    </row>
    <row r="109" spans="1:7" ht="15.75">
      <c r="A109" s="7" t="s">
        <v>75</v>
      </c>
      <c r="C109" s="7">
        <f>SUM(C100:C108)</f>
        <v>262893508.8</v>
      </c>
      <c r="D109" s="7">
        <f>SUM(D100:D108)</f>
        <v>245055574</v>
      </c>
      <c r="E109" s="7">
        <f>SUM(E100:E108)</f>
        <v>222801229</v>
      </c>
      <c r="F109" s="7">
        <f>SUM(F100:F108)</f>
        <v>211895583.2</v>
      </c>
      <c r="G109" s="7">
        <f>SUM(G100:G108)</f>
        <v>193311282.4</v>
      </c>
    </row>
    <row r="112" spans="1:7" ht="15.75">
      <c r="A112" s="5" t="s">
        <v>208</v>
      </c>
      <c r="C112" s="5">
        <f>3300000*12</f>
        <v>39600000</v>
      </c>
      <c r="D112" s="5">
        <f>3000000*12</f>
        <v>36000000</v>
      </c>
      <c r="E112" s="5">
        <f>2700000*12</f>
        <v>32400000</v>
      </c>
      <c r="F112" s="5">
        <f>2400000*12</f>
        <v>28800000</v>
      </c>
      <c r="G112" s="5">
        <f>2100000*12</f>
        <v>25200000</v>
      </c>
    </row>
    <row r="113" spans="1:7" ht="15.75">
      <c r="A113" s="5" t="s">
        <v>209</v>
      </c>
      <c r="C113" s="33">
        <f>(C100+C101+C104+C107+C108)*4%+1</f>
        <v>9728699.8</v>
      </c>
      <c r="D113" s="33">
        <f>(D100+D101+D102+D104+D107+D108)*4%+2</f>
        <v>9055010.4</v>
      </c>
      <c r="E113" s="33">
        <f>(E100+E101+E104+E107+E108)*4%+2</f>
        <v>8234520.4</v>
      </c>
      <c r="F113" s="33">
        <f>(F100+F101+F103+F104+F107+F108)*4%+5</f>
        <v>7838120.2</v>
      </c>
      <c r="G113" s="33">
        <f>(G100+G101+G103+G104+G107+G108)*4%+5</f>
        <v>7134570.2</v>
      </c>
    </row>
    <row r="114" spans="1:7" ht="15.75">
      <c r="A114" s="5" t="s">
        <v>216</v>
      </c>
      <c r="C114" s="9">
        <f>(C100+C101+C104+C107+C108)*1%+5</f>
        <v>2432179.7</v>
      </c>
      <c r="D114" s="9">
        <f>(D100+D101+D102+D104+D107+D108)*1%-2</f>
        <v>2263750.1</v>
      </c>
      <c r="E114" s="9">
        <f>(E100+E101+E104+E107+E108)*1%</f>
        <v>2058629.6</v>
      </c>
      <c r="F114" s="9">
        <f>(F100+F101+F103+F104+F107+F108)*1%+1</f>
        <v>1959529.8</v>
      </c>
      <c r="G114" s="9">
        <f>(G100+G101+G103+G104+G107+G108)*1%-1</f>
        <v>1783640.3</v>
      </c>
    </row>
    <row r="115" spans="1:7" ht="15.75">
      <c r="A115" s="7" t="s">
        <v>75</v>
      </c>
      <c r="C115" s="7">
        <f>SUM(C112:C114)</f>
        <v>51760879.5</v>
      </c>
      <c r="D115" s="7">
        <f>SUM(D112:D114)</f>
        <v>47318760.5</v>
      </c>
      <c r="E115" s="7">
        <f>SUM(E112:E114)</f>
        <v>42693150</v>
      </c>
      <c r="F115" s="7">
        <f>SUM(F112:F114)</f>
        <v>38597650</v>
      </c>
      <c r="G115" s="7">
        <f>SUM(G112:G114)</f>
        <v>34118210.5</v>
      </c>
    </row>
    <row r="117" ht="15.75">
      <c r="A117" s="7" t="s">
        <v>199</v>
      </c>
    </row>
    <row r="119" spans="1:7" ht="15.75">
      <c r="A119" s="73" t="s">
        <v>28</v>
      </c>
      <c r="B119" s="74"/>
      <c r="C119" s="37" t="s">
        <v>29</v>
      </c>
      <c r="D119" s="37" t="s">
        <v>30</v>
      </c>
      <c r="E119" s="37" t="s">
        <v>30</v>
      </c>
      <c r="F119" s="37" t="s">
        <v>30</v>
      </c>
      <c r="G119" s="37" t="s">
        <v>30</v>
      </c>
    </row>
    <row r="120" spans="1:7" ht="15.75">
      <c r="A120" s="35"/>
      <c r="B120" s="36"/>
      <c r="C120" s="38" t="s">
        <v>31</v>
      </c>
      <c r="D120" s="38" t="s">
        <v>32</v>
      </c>
      <c r="E120" s="38" t="s">
        <v>74</v>
      </c>
      <c r="F120" s="38" t="s">
        <v>34</v>
      </c>
      <c r="G120" s="38" t="s">
        <v>35</v>
      </c>
    </row>
    <row r="122" spans="1:7" ht="15.75">
      <c r="A122" s="5" t="s">
        <v>36</v>
      </c>
      <c r="C122" s="5">
        <f>(C52-2000000)*12</f>
        <v>191851800</v>
      </c>
      <c r="D122" s="5">
        <f>(D52-2000000)*12</f>
        <v>174118440</v>
      </c>
      <c r="E122" s="5">
        <f>(E52-2000000)*12</f>
        <v>161318520</v>
      </c>
      <c r="F122" s="5">
        <f>(F52-2000000)*12</f>
        <v>147718440</v>
      </c>
      <c r="G122" s="5">
        <f>(G52-2000000)*12</f>
        <v>135451800</v>
      </c>
    </row>
    <row r="123" spans="1:3" ht="15.75">
      <c r="A123" s="5" t="s">
        <v>53</v>
      </c>
      <c r="C123" s="5">
        <v>1456780</v>
      </c>
    </row>
    <row r="124" spans="1:4" ht="15.75">
      <c r="A124" s="5" t="s">
        <v>38</v>
      </c>
      <c r="D124" s="5">
        <v>4567890</v>
      </c>
    </row>
    <row r="125" spans="1:7" ht="15.75">
      <c r="A125" s="5" t="s">
        <v>54</v>
      </c>
      <c r="F125" s="5">
        <v>4456780</v>
      </c>
      <c r="G125" s="5">
        <v>3890120</v>
      </c>
    </row>
    <row r="126" spans="1:7" ht="15.75">
      <c r="A126" s="5" t="s">
        <v>40</v>
      </c>
      <c r="C126" s="5">
        <f>C122/12</f>
        <v>15987650</v>
      </c>
      <c r="D126" s="5">
        <f>D122/12</f>
        <v>14509870</v>
      </c>
      <c r="E126" s="5">
        <f>E122/12</f>
        <v>13443210</v>
      </c>
      <c r="F126" s="5">
        <f>F122/12</f>
        <v>12309870</v>
      </c>
      <c r="G126" s="5">
        <f>G122/12</f>
        <v>11287650</v>
      </c>
    </row>
    <row r="127" spans="1:7" ht="15.75">
      <c r="A127" s="5" t="s">
        <v>41</v>
      </c>
      <c r="C127" s="5">
        <v>16123450</v>
      </c>
      <c r="D127" s="5">
        <v>14234560</v>
      </c>
      <c r="E127" s="5">
        <v>13345670</v>
      </c>
      <c r="F127" s="5">
        <v>12456780</v>
      </c>
      <c r="G127" s="5">
        <v>11567890</v>
      </c>
    </row>
    <row r="128" spans="1:7" ht="15.75">
      <c r="A128" s="5" t="s">
        <v>62</v>
      </c>
      <c r="C128" s="5">
        <f>C127*12%-4</f>
        <v>1934810</v>
      </c>
      <c r="D128" s="5">
        <f>D127*12%+3</f>
        <v>1708150.2</v>
      </c>
      <c r="E128" s="5">
        <f>E127*12%</f>
        <v>1601480.4</v>
      </c>
      <c r="F128" s="5">
        <f>F127*12%-4</f>
        <v>1494809.5999999999</v>
      </c>
      <c r="G128" s="5">
        <f>G127*12%+3</f>
        <v>1388149.8</v>
      </c>
    </row>
    <row r="129" spans="1:7" ht="15.75">
      <c r="A129" s="5" t="s">
        <v>45</v>
      </c>
      <c r="C129" s="5">
        <v>4300000</v>
      </c>
      <c r="D129" s="5">
        <v>4000000</v>
      </c>
      <c r="E129" s="5">
        <v>3700000</v>
      </c>
      <c r="F129" s="5">
        <v>3400000</v>
      </c>
      <c r="G129" s="5">
        <v>3100000</v>
      </c>
    </row>
    <row r="130" spans="1:7" ht="15.75">
      <c r="A130" s="5" t="s">
        <v>46</v>
      </c>
      <c r="C130" s="5">
        <v>8567890</v>
      </c>
      <c r="D130" s="5">
        <v>7678901</v>
      </c>
      <c r="E130" s="5">
        <v>7012345</v>
      </c>
      <c r="F130" s="5">
        <v>6456789</v>
      </c>
      <c r="G130" s="5">
        <v>6890123</v>
      </c>
    </row>
    <row r="131" spans="1:3" ht="15.75">
      <c r="A131" s="5" t="s">
        <v>213</v>
      </c>
      <c r="C131" s="5">
        <v>7123450</v>
      </c>
    </row>
    <row r="132" spans="1:7" ht="15.75">
      <c r="A132" s="5" t="s">
        <v>214</v>
      </c>
      <c r="C132" s="9"/>
      <c r="D132" s="9">
        <v>5234560</v>
      </c>
      <c r="E132" s="9"/>
      <c r="F132" s="9"/>
      <c r="G132" s="9"/>
    </row>
    <row r="133" spans="1:7" ht="15.75">
      <c r="A133" s="7" t="s">
        <v>75</v>
      </c>
      <c r="C133" s="7">
        <f>SUM(C122:C132)</f>
        <v>247345830</v>
      </c>
      <c r="D133" s="7">
        <f>SUM(D122:D132)</f>
        <v>226052371.2</v>
      </c>
      <c r="E133" s="7">
        <f>SUM(E122:E132)</f>
        <v>200421225.4</v>
      </c>
      <c r="F133" s="7">
        <f>SUM(F122:F132)</f>
        <v>188293468.6</v>
      </c>
      <c r="G133" s="7">
        <f>SUM(G122:G132)</f>
        <v>173575732.8</v>
      </c>
    </row>
    <row r="136" spans="1:7" ht="15.75">
      <c r="A136" s="5" t="s">
        <v>208</v>
      </c>
      <c r="C136" s="5">
        <f>3300000*12</f>
        <v>39600000</v>
      </c>
      <c r="D136" s="5">
        <f>3000000*12</f>
        <v>36000000</v>
      </c>
      <c r="E136" s="5">
        <f>2700000*12</f>
        <v>32400000</v>
      </c>
      <c r="F136" s="5">
        <f>2400000*12</f>
        <v>28800000</v>
      </c>
      <c r="G136" s="5">
        <f>2100000*12</f>
        <v>25200000</v>
      </c>
    </row>
    <row r="137" spans="1:7" ht="15.75">
      <c r="A137" s="5" t="s">
        <v>209</v>
      </c>
      <c r="C137" s="5">
        <f>(C122+C126+C129+C130)*4%-4</f>
        <v>8828289.6</v>
      </c>
      <c r="D137" s="5">
        <f>(D122+D124+D126+D129+D130)*4%-4</f>
        <v>8195000.04</v>
      </c>
      <c r="E137" s="5">
        <f>(E122+E126+E129+E130)*4%-3</f>
        <v>7418960</v>
      </c>
      <c r="F137" s="5">
        <f>(F122+F125+F126+F129+F130)*4%+5</f>
        <v>6973680.16</v>
      </c>
      <c r="G137" s="5">
        <f>(G122+G125+G126+G129+G130)*4%+2</f>
        <v>6424789.72</v>
      </c>
    </row>
    <row r="138" spans="1:7" ht="15.75">
      <c r="A138" s="5" t="s">
        <v>215</v>
      </c>
      <c r="C138" s="9">
        <f>(C122+C123+C126+C129+C130)*1%-1</f>
        <v>2221640.2</v>
      </c>
      <c r="D138" s="9">
        <f>(D122+D123+D124+D126+D129+D130)*1%-1</f>
        <v>2048750.01</v>
      </c>
      <c r="E138" s="9">
        <f>(E122+E123+E126+E129+E130)*1%-1</f>
        <v>1854739.75</v>
      </c>
      <c r="F138" s="9">
        <f>(F122+F123+F125+F126+F129+F130)*1%+1</f>
        <v>1743419.79</v>
      </c>
      <c r="G138" s="9">
        <f>(G122+G123+G125+G126+G129+G130)*1%+3</f>
        <v>1606199.93</v>
      </c>
    </row>
    <row r="139" spans="1:7" ht="15.75">
      <c r="A139" s="7" t="s">
        <v>75</v>
      </c>
      <c r="C139" s="7">
        <f>SUM(C136:C138)</f>
        <v>50649929.800000004</v>
      </c>
      <c r="D139" s="7">
        <f>SUM(D136:D138)</f>
        <v>46243750.05</v>
      </c>
      <c r="E139" s="7">
        <f>SUM(E136:E138)</f>
        <v>41673699.75</v>
      </c>
      <c r="F139" s="7">
        <f>SUM(F136:F138)</f>
        <v>37517099.949999996</v>
      </c>
      <c r="G139" s="7">
        <f>SUM(G136:G138)</f>
        <v>33230989.65</v>
      </c>
    </row>
    <row r="140" ht="15.75">
      <c r="A140" s="7"/>
    </row>
    <row r="142" spans="1:7" ht="15.75">
      <c r="A142" s="85" t="s">
        <v>286</v>
      </c>
      <c r="B142" s="85"/>
      <c r="C142" s="85"/>
      <c r="D142" s="85"/>
      <c r="E142" s="85"/>
      <c r="F142" s="85"/>
      <c r="G142" s="85"/>
    </row>
    <row r="143" spans="4:7" ht="15.75">
      <c r="D143" s="34"/>
      <c r="E143" s="34"/>
      <c r="F143" s="34"/>
      <c r="G143" s="34"/>
    </row>
    <row r="144" ht="15.75">
      <c r="A144" s="7" t="s">
        <v>221</v>
      </c>
    </row>
    <row r="146" spans="1:7" ht="15.75">
      <c r="A146" s="73" t="s">
        <v>28</v>
      </c>
      <c r="B146" s="74"/>
      <c r="C146" s="37" t="s">
        <v>29</v>
      </c>
      <c r="D146" s="37" t="s">
        <v>30</v>
      </c>
      <c r="E146" s="37" t="s">
        <v>30</v>
      </c>
      <c r="F146" s="37" t="s">
        <v>30</v>
      </c>
      <c r="G146" s="37" t="s">
        <v>30</v>
      </c>
    </row>
    <row r="147" spans="1:7" ht="15.75">
      <c r="A147" s="35"/>
      <c r="B147" s="36"/>
      <c r="C147" s="38" t="s">
        <v>31</v>
      </c>
      <c r="D147" s="38" t="s">
        <v>32</v>
      </c>
      <c r="E147" s="38" t="s">
        <v>74</v>
      </c>
      <c r="F147" s="38" t="s">
        <v>34</v>
      </c>
      <c r="G147" s="38" t="s">
        <v>35</v>
      </c>
    </row>
    <row r="149" spans="1:7" ht="15.75">
      <c r="A149" s="5" t="s">
        <v>222</v>
      </c>
      <c r="C149" s="5">
        <v>22123450</v>
      </c>
      <c r="D149" s="5">
        <v>11345670</v>
      </c>
      <c r="E149" s="5">
        <v>19345670</v>
      </c>
      <c r="F149" s="5">
        <v>9123760</v>
      </c>
      <c r="G149" s="5">
        <v>17990100</v>
      </c>
    </row>
    <row r="150" spans="1:7" ht="15.75">
      <c r="A150" s="5" t="s">
        <v>76</v>
      </c>
      <c r="C150" s="5">
        <f>(C166+C167+C170+C175+C176)*4%+1</f>
        <v>8356699.96</v>
      </c>
      <c r="D150" s="5">
        <f>(D166+D167+D168+D170+D175+D176)*4%+1</f>
        <v>7656199.88</v>
      </c>
      <c r="E150" s="5">
        <f>(E166+E167+E170+E175+E176)*4%+4</f>
        <v>6864300.32</v>
      </c>
      <c r="F150" s="5">
        <f>(F166+F167+F169+F170+F175+F176)*4%-3</f>
        <v>6384250.36</v>
      </c>
      <c r="G150" s="5">
        <f>(G166+G167+G169+G170+G175+G176)*4%-4</f>
        <v>5739450.48</v>
      </c>
    </row>
    <row r="152" spans="1:7" ht="15.75">
      <c r="A152" s="5" t="s">
        <v>217</v>
      </c>
      <c r="C152" s="5">
        <v>11234560</v>
      </c>
      <c r="D152" s="5">
        <v>21456780</v>
      </c>
      <c r="E152" s="5">
        <v>9567890</v>
      </c>
      <c r="F152" s="5">
        <v>18567890</v>
      </c>
      <c r="G152" s="5">
        <v>7890120</v>
      </c>
    </row>
    <row r="153" spans="1:3" ht="15.75">
      <c r="A153" s="5" t="s">
        <v>219</v>
      </c>
      <c r="C153" s="5" t="s">
        <v>220</v>
      </c>
    </row>
    <row r="155" spans="1:7" ht="15.75">
      <c r="A155" s="5" t="s">
        <v>223</v>
      </c>
      <c r="C155" s="5">
        <v>20987650</v>
      </c>
      <c r="D155" s="5">
        <v>19765430</v>
      </c>
      <c r="E155" s="5">
        <v>17654200</v>
      </c>
      <c r="F155" s="5">
        <v>9098760</v>
      </c>
      <c r="G155" s="5">
        <v>13080000</v>
      </c>
    </row>
    <row r="156" spans="1:7" ht="15.75">
      <c r="A156" s="5" t="s">
        <v>76</v>
      </c>
      <c r="C156" s="5">
        <f>(C122+C123+C126+C129+C130)*4%-5</f>
        <v>8886559.8</v>
      </c>
      <c r="D156" s="5">
        <f>(D122+D123+D124+D126+D129+D130)*4%-4</f>
        <v>8195000.04</v>
      </c>
      <c r="E156" s="5">
        <f>(E122+E123+E126+E129+E130)*4%-3</f>
        <v>7418960</v>
      </c>
      <c r="F156" s="5">
        <f>(F122+F123+F125+F126+F129+F130)*4%-5</f>
        <v>6973670.16</v>
      </c>
      <c r="G156" s="5">
        <f>(G122+G123+G125+G126+G129+G130)*4%+2</f>
        <v>6424789.72</v>
      </c>
    </row>
    <row r="158" spans="1:7" ht="15.75">
      <c r="A158" s="5" t="s">
        <v>218</v>
      </c>
      <c r="C158" s="5">
        <v>12098760</v>
      </c>
      <c r="D158" s="5">
        <v>19765430</v>
      </c>
      <c r="E158" s="5">
        <v>10098760</v>
      </c>
      <c r="F158" s="5">
        <v>15980000</v>
      </c>
      <c r="G158" s="5">
        <v>9098760</v>
      </c>
    </row>
    <row r="159" spans="1:3" ht="15.75">
      <c r="A159" s="5" t="s">
        <v>219</v>
      </c>
      <c r="C159" s="5" t="s">
        <v>220</v>
      </c>
    </row>
    <row r="161" ht="15.75">
      <c r="A161" s="7" t="s">
        <v>200</v>
      </c>
    </row>
    <row r="163" spans="1:7" ht="15.75">
      <c r="A163" s="73" t="s">
        <v>28</v>
      </c>
      <c r="B163" s="74"/>
      <c r="C163" s="37" t="s">
        <v>29</v>
      </c>
      <c r="D163" s="37" t="s">
        <v>30</v>
      </c>
      <c r="E163" s="37" t="s">
        <v>30</v>
      </c>
      <c r="F163" s="37" t="s">
        <v>30</v>
      </c>
      <c r="G163" s="37" t="s">
        <v>30</v>
      </c>
    </row>
    <row r="164" spans="1:7" ht="15.75">
      <c r="A164" s="35"/>
      <c r="B164" s="36"/>
      <c r="C164" s="38" t="s">
        <v>31</v>
      </c>
      <c r="D164" s="38" t="s">
        <v>32</v>
      </c>
      <c r="E164" s="38" t="s">
        <v>74</v>
      </c>
      <c r="F164" s="38" t="s">
        <v>34</v>
      </c>
      <c r="G164" s="38" t="s">
        <v>35</v>
      </c>
    </row>
    <row r="166" spans="1:7" ht="15.75">
      <c r="A166" s="5" t="s">
        <v>36</v>
      </c>
      <c r="C166" s="5">
        <f>(C52-3000000)*12</f>
        <v>179851800</v>
      </c>
      <c r="D166" s="5">
        <f>(D52-3000000)*12</f>
        <v>162118440</v>
      </c>
      <c r="E166" s="5">
        <f>(E52-3000000)*12</f>
        <v>149318520</v>
      </c>
      <c r="F166" s="5">
        <f>(F52-3000000)*12</f>
        <v>135718440</v>
      </c>
      <c r="G166" s="5">
        <f>(G52-3000000)*12</f>
        <v>123451800</v>
      </c>
    </row>
    <row r="167" spans="1:3" ht="15.75">
      <c r="A167" s="5" t="s">
        <v>53</v>
      </c>
      <c r="C167" s="5">
        <v>1789012</v>
      </c>
    </row>
    <row r="168" spans="1:4" ht="15.75">
      <c r="A168" s="5" t="s">
        <v>38</v>
      </c>
      <c r="D168" s="5">
        <v>4987650</v>
      </c>
    </row>
    <row r="169" spans="1:7" ht="15.75">
      <c r="A169" s="5" t="s">
        <v>54</v>
      </c>
      <c r="F169" s="5">
        <v>2789012</v>
      </c>
      <c r="G169" s="5">
        <v>2123456</v>
      </c>
    </row>
    <row r="170" spans="1:7" ht="15.75">
      <c r="A170" s="5" t="s">
        <v>40</v>
      </c>
      <c r="C170" s="5">
        <f>C166/12</f>
        <v>14987650</v>
      </c>
      <c r="D170" s="5">
        <f>D166/12</f>
        <v>13509870</v>
      </c>
      <c r="E170" s="5">
        <f>E166/12</f>
        <v>12443210</v>
      </c>
      <c r="F170" s="5">
        <f>F166/12</f>
        <v>11309870</v>
      </c>
      <c r="G170" s="5">
        <f>G166/12</f>
        <v>10287650</v>
      </c>
    </row>
    <row r="171" spans="1:7" ht="15.75">
      <c r="A171" s="5" t="s">
        <v>41</v>
      </c>
      <c r="C171" s="5">
        <v>15123450</v>
      </c>
      <c r="D171" s="5">
        <v>13789010</v>
      </c>
      <c r="E171" s="5">
        <v>12678900</v>
      </c>
      <c r="F171" s="5">
        <v>11567890</v>
      </c>
      <c r="G171" s="5">
        <v>10456780</v>
      </c>
    </row>
    <row r="172" spans="1:7" ht="15.75">
      <c r="A172" s="5" t="s">
        <v>42</v>
      </c>
      <c r="C172" s="5">
        <f>C171*12%-4</f>
        <v>1814810</v>
      </c>
      <c r="D172" s="5">
        <f>D171*12%-1</f>
        <v>1654680.2</v>
      </c>
      <c r="E172" s="5">
        <f>E171*12%+2</f>
        <v>1521470</v>
      </c>
      <c r="F172" s="5">
        <f>F171*12%+3</f>
        <v>1388149.8</v>
      </c>
      <c r="G172" s="5">
        <f>G171*12%-4</f>
        <v>1254809.5999999999</v>
      </c>
    </row>
    <row r="173" ht="15.75">
      <c r="A173" s="5" t="s">
        <v>224</v>
      </c>
    </row>
    <row r="174" ht="15.75">
      <c r="A174" s="5" t="s">
        <v>211</v>
      </c>
    </row>
    <row r="175" spans="1:7" ht="15.75">
      <c r="A175" s="5" t="s">
        <v>45</v>
      </c>
      <c r="C175" s="5">
        <v>4500000</v>
      </c>
      <c r="D175" s="5">
        <v>4000000</v>
      </c>
      <c r="E175" s="5">
        <v>3500000</v>
      </c>
      <c r="F175" s="5">
        <v>3000000</v>
      </c>
      <c r="G175" s="5">
        <v>2500000</v>
      </c>
    </row>
    <row r="176" spans="1:7" ht="15.75">
      <c r="A176" s="5" t="s">
        <v>46</v>
      </c>
      <c r="C176" s="5">
        <v>7789012</v>
      </c>
      <c r="D176" s="5">
        <v>6789012</v>
      </c>
      <c r="E176" s="5">
        <v>6345678</v>
      </c>
      <c r="F176" s="5">
        <v>6789012</v>
      </c>
      <c r="G176" s="5">
        <v>5123456</v>
      </c>
    </row>
    <row r="177" spans="1:7" ht="15.75">
      <c r="A177" s="5" t="s">
        <v>225</v>
      </c>
      <c r="C177" s="5">
        <v>5345678</v>
      </c>
      <c r="G177" s="5">
        <v>5789012</v>
      </c>
    </row>
    <row r="178" spans="1:7" ht="15.75">
      <c r="A178" s="5" t="s">
        <v>226</v>
      </c>
      <c r="C178" s="9"/>
      <c r="D178" s="9">
        <v>5345678</v>
      </c>
      <c r="E178" s="9"/>
      <c r="F178" s="9"/>
      <c r="G178" s="9"/>
    </row>
    <row r="179" spans="1:7" ht="15.75">
      <c r="A179" s="7" t="s">
        <v>75</v>
      </c>
      <c r="C179" s="7">
        <f>SUM(C166:C178)</f>
        <v>231201412</v>
      </c>
      <c r="D179" s="7">
        <f>SUM(D166:D178)</f>
        <v>212194340.2</v>
      </c>
      <c r="E179" s="7">
        <f>SUM(E166:E178)</f>
        <v>185807778</v>
      </c>
      <c r="F179" s="7">
        <f>SUM(F166:F178)</f>
        <v>172562373.8</v>
      </c>
      <c r="G179" s="7">
        <f>SUM(G166:G178)</f>
        <v>160986963.6</v>
      </c>
    </row>
    <row r="181" spans="1:7" ht="15.75">
      <c r="A181" s="5" t="s">
        <v>208</v>
      </c>
      <c r="C181" s="5">
        <f>(C166+C167+C170+C175+C176)*4%+1</f>
        <v>8356699.96</v>
      </c>
      <c r="D181" s="5">
        <f>(D166+D167+D168+D170+D175+D176)*4%+1</f>
        <v>7656199.88</v>
      </c>
      <c r="E181" s="5">
        <f>(E166+E167+E170+E175+E176)*4%+4</f>
        <v>6864300.32</v>
      </c>
      <c r="F181" s="5">
        <f>(F166+F167+F169+F170+F175+F176)*4%-3</f>
        <v>6384250.36</v>
      </c>
      <c r="G181" s="5">
        <f>(G166+G167+G169+G170+G175+G176)*4%-4</f>
        <v>5739450.48</v>
      </c>
    </row>
    <row r="182" spans="1:7" ht="15.75">
      <c r="A182" s="5" t="s">
        <v>209</v>
      </c>
      <c r="C182" s="5">
        <f>3100000*12</f>
        <v>37200000</v>
      </c>
      <c r="D182" s="5">
        <f>2900000*12</f>
        <v>34800000</v>
      </c>
      <c r="E182" s="5">
        <f>2700000*12</f>
        <v>32400000</v>
      </c>
      <c r="F182" s="5">
        <f>2500000*12</f>
        <v>30000000</v>
      </c>
      <c r="G182" s="5">
        <f>2300000*12</f>
        <v>27600000</v>
      </c>
    </row>
    <row r="183" spans="1:7" ht="15.75">
      <c r="A183" s="5" t="s">
        <v>215</v>
      </c>
      <c r="C183" s="9">
        <f>(C166+C167+C170+C175+C176)*1%-5</f>
        <v>2089169.74</v>
      </c>
      <c r="D183" s="9">
        <f>(D166+D167+D168+D170+D175+D176)*1%</f>
        <v>1914049.72</v>
      </c>
      <c r="E183" s="9">
        <f>(E166+E167+E170+E175+E176)*1%-4</f>
        <v>1716070.08</v>
      </c>
      <c r="F183" s="9">
        <f>(F166+F167+F169+F170+F175+F176)*1%-3</f>
        <v>1596060.34</v>
      </c>
      <c r="G183" s="9">
        <f>(G166+G167+G169+G170+G175+G176)*1%-4</f>
        <v>1434859.62</v>
      </c>
    </row>
    <row r="184" spans="1:7" ht="15.75">
      <c r="A184" s="7" t="s">
        <v>75</v>
      </c>
      <c r="C184" s="7">
        <f>SUM(C181:C183)</f>
        <v>47645869.7</v>
      </c>
      <c r="D184" s="7">
        <v>91573935</v>
      </c>
      <c r="E184" s="7">
        <v>74950367</v>
      </c>
      <c r="F184" s="7">
        <v>71811591</v>
      </c>
      <c r="G184" s="7">
        <v>68445037</v>
      </c>
    </row>
    <row r="189" spans="1:7" ht="15.75">
      <c r="A189" s="85" t="s">
        <v>286</v>
      </c>
      <c r="B189" s="85"/>
      <c r="C189" s="85"/>
      <c r="D189" s="85"/>
      <c r="E189" s="85"/>
      <c r="F189" s="85"/>
      <c r="G189" s="85"/>
    </row>
  </sheetData>
  <sheetProtection/>
  <mergeCells count="19">
    <mergeCell ref="A189:G189"/>
    <mergeCell ref="A4:G4"/>
    <mergeCell ref="A46:G46"/>
    <mergeCell ref="A94:G94"/>
    <mergeCell ref="A142:G142"/>
    <mergeCell ref="C7:G7"/>
    <mergeCell ref="C8:G8"/>
    <mergeCell ref="A72:D72"/>
    <mergeCell ref="A74:B74"/>
    <mergeCell ref="A97:B97"/>
    <mergeCell ref="A119:B119"/>
    <mergeCell ref="A146:B146"/>
    <mergeCell ref="A163:B163"/>
    <mergeCell ref="A1:G1"/>
    <mergeCell ref="A11:B11"/>
    <mergeCell ref="A7:B7"/>
    <mergeCell ref="A8:B8"/>
    <mergeCell ref="A27:D27"/>
    <mergeCell ref="A49:B49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2" width="11.421875" style="1" customWidth="1"/>
    <col min="3" max="3" width="9.8515625" style="1" customWidth="1"/>
    <col min="4" max="4" width="32.00390625" style="1" customWidth="1"/>
    <col min="5" max="5" width="20.28125" style="1" customWidth="1"/>
    <col min="6" max="6" width="20.140625" style="1" customWidth="1"/>
    <col min="7" max="7" width="22.28125" style="1" customWidth="1"/>
    <col min="8" max="8" width="11.421875" style="1" customWidth="1"/>
    <col min="9" max="9" width="16.8515625" style="1" bestFit="1" customWidth="1"/>
    <col min="10" max="10" width="11.421875" style="1" customWidth="1"/>
    <col min="11" max="11" width="19.7109375" style="1" bestFit="1" customWidth="1"/>
    <col min="12" max="16384" width="11.421875" style="1" customWidth="1"/>
  </cols>
  <sheetData>
    <row r="1" spans="1:11" ht="30">
      <c r="A1" s="92" t="s">
        <v>252</v>
      </c>
      <c r="B1" s="92"/>
      <c r="C1" s="92"/>
      <c r="D1" s="92"/>
      <c r="E1" s="92"/>
      <c r="F1" s="92"/>
      <c r="G1" s="92"/>
      <c r="H1" s="50"/>
      <c r="I1" s="50"/>
      <c r="J1" s="50"/>
      <c r="K1" s="50"/>
    </row>
    <row r="2" spans="1:7" ht="30">
      <c r="A2" s="92" t="s">
        <v>238</v>
      </c>
      <c r="B2" s="92"/>
      <c r="C2" s="92"/>
      <c r="D2" s="92"/>
      <c r="E2" s="92"/>
      <c r="F2" s="92"/>
      <c r="G2" s="92"/>
    </row>
    <row r="4" spans="1:7" ht="26.25">
      <c r="A4" s="50" t="s">
        <v>239</v>
      </c>
      <c r="G4" s="1">
        <f>'RETEFTE ING LAB DIC'!C64</f>
        <v>62397220.4</v>
      </c>
    </row>
    <row r="5" spans="1:7" ht="26.25">
      <c r="A5" s="1" t="s">
        <v>253</v>
      </c>
      <c r="G5" s="1">
        <f>'RETEFTE ING LAB DIC'!C56+'RETEFTE ING LAB DIC'!C57</f>
        <v>16923060.4</v>
      </c>
    </row>
    <row r="6" spans="1:7" ht="26.25">
      <c r="A6" s="1" t="s">
        <v>254</v>
      </c>
      <c r="G6" s="19">
        <f>'RETEFTE ING LAB DIC'!C55</f>
        <v>9165430</v>
      </c>
    </row>
    <row r="7" spans="6:7" ht="26.25">
      <c r="F7" s="50" t="s">
        <v>75</v>
      </c>
      <c r="G7" s="50">
        <f>G4-G5-G6</f>
        <v>36308730</v>
      </c>
    </row>
    <row r="8" ht="26.25">
      <c r="A8" s="50" t="s">
        <v>240</v>
      </c>
    </row>
    <row r="9" spans="1:11" ht="26.25">
      <c r="A9" s="1" t="s">
        <v>255</v>
      </c>
      <c r="F9" s="1">
        <f>'RETEFTE ING LAB DIC'!C155/12</f>
        <v>1748970.8333333333</v>
      </c>
      <c r="H9" s="1" t="s">
        <v>295</v>
      </c>
      <c r="K9" s="1">
        <f>100*26841</f>
        <v>2684100</v>
      </c>
    </row>
    <row r="10" spans="1:11" ht="26.25">
      <c r="A10" s="1" t="s">
        <v>262</v>
      </c>
      <c r="E10" s="1">
        <f>'RETEFTE ING LAB DIC'!C158/12</f>
        <v>1008230</v>
      </c>
      <c r="F10" s="1">
        <f>16*26841</f>
        <v>429456</v>
      </c>
      <c r="H10" s="1" t="s">
        <v>296</v>
      </c>
      <c r="K10" s="1">
        <f>16*26841</f>
        <v>429456</v>
      </c>
    </row>
    <row r="11" spans="1:11" ht="26.25">
      <c r="A11" s="1" t="s">
        <v>219</v>
      </c>
      <c r="E11" s="1">
        <f>G4*10%</f>
        <v>6239722.04</v>
      </c>
      <c r="F11" s="1">
        <f>32*26841</f>
        <v>858912</v>
      </c>
      <c r="H11" s="1" t="s">
        <v>297</v>
      </c>
      <c r="K11" s="1">
        <f>32*26841</f>
        <v>858912</v>
      </c>
    </row>
    <row r="12" spans="1:8" ht="26.25">
      <c r="A12" s="1" t="s">
        <v>256</v>
      </c>
      <c r="F12" s="19">
        <f>'RETEFTE ING LAB DIC'!C69</f>
        <v>1708350.2</v>
      </c>
      <c r="G12" s="50">
        <f>SUM(F9:F12)</f>
        <v>4745689.033333333</v>
      </c>
      <c r="H12" s="1" t="s">
        <v>301</v>
      </c>
    </row>
    <row r="14" ht="26.25">
      <c r="A14" s="50" t="s">
        <v>241</v>
      </c>
    </row>
    <row r="15" spans="1:5" ht="26.25">
      <c r="A15" s="1" t="s">
        <v>292</v>
      </c>
      <c r="E15" s="1">
        <f>'RETEFTE ING LAB DIC'!C66</f>
        <v>3500000</v>
      </c>
    </row>
    <row r="16" spans="1:5" ht="26.25">
      <c r="A16" s="1" t="s">
        <v>293</v>
      </c>
      <c r="E16" s="1">
        <f>'RETEFTE ING LAB DIC'!C67</f>
        <v>1708350.2</v>
      </c>
    </row>
    <row r="17" spans="1:8" ht="26.25">
      <c r="A17" s="1" t="s">
        <v>294</v>
      </c>
      <c r="E17" s="1">
        <f>'RETEFTE ING LAB DIC'!C68</f>
        <v>427090.3</v>
      </c>
      <c r="H17" s="1" t="s">
        <v>299</v>
      </c>
    </row>
    <row r="18" spans="1:11" ht="26.25">
      <c r="A18" s="1" t="s">
        <v>257</v>
      </c>
      <c r="E18" s="19">
        <f>'RETEFTE ING LAB DIC'!C70</f>
        <v>3600000</v>
      </c>
      <c r="F18" s="1">
        <f>SUM(E15:E18)</f>
        <v>9235440.5</v>
      </c>
      <c r="G18" s="50">
        <f>F18</f>
        <v>9235440.5</v>
      </c>
      <c r="H18" s="1" t="s">
        <v>300</v>
      </c>
      <c r="K18" s="1">
        <f>G4*30%</f>
        <v>18719166.119999997</v>
      </c>
    </row>
    <row r="20" ht="26.25">
      <c r="A20" s="50" t="s">
        <v>242</v>
      </c>
    </row>
    <row r="21" spans="1:7" ht="26.25">
      <c r="A21" s="1" t="s">
        <v>289</v>
      </c>
      <c r="G21" s="19">
        <f>'RETEFTE ING LAB DIC'!C62</f>
        <v>2765430</v>
      </c>
    </row>
    <row r="22" spans="2:7" ht="26.25">
      <c r="B22" s="50" t="s">
        <v>290</v>
      </c>
      <c r="C22" s="50"/>
      <c r="F22" s="50"/>
      <c r="G22" s="50">
        <f>G7-G12-G18-G21</f>
        <v>19562170.46666667</v>
      </c>
    </row>
    <row r="24" spans="1:11" ht="26.25">
      <c r="A24" s="50" t="s">
        <v>244</v>
      </c>
      <c r="G24" s="50">
        <f>G22*25%</f>
        <v>4890542.616666667</v>
      </c>
      <c r="H24" s="1" t="s">
        <v>298</v>
      </c>
      <c r="K24" s="1">
        <f>240*26841</f>
        <v>6441840</v>
      </c>
    </row>
    <row r="25" ht="26.25">
      <c r="G25" s="19"/>
    </row>
    <row r="26" spans="1:7" ht="26.25">
      <c r="A26" s="1" t="s">
        <v>245</v>
      </c>
      <c r="D26" s="1" t="s">
        <v>259</v>
      </c>
      <c r="G26" s="50">
        <f>G22-G24</f>
        <v>14671627.850000001</v>
      </c>
    </row>
    <row r="27" spans="1:7" ht="26.25">
      <c r="A27" s="1" t="s">
        <v>245</v>
      </c>
      <c r="D27" s="1" t="s">
        <v>0</v>
      </c>
      <c r="G27" s="51">
        <f>G26/26841</f>
        <v>546.6125647330576</v>
      </c>
    </row>
    <row r="28" ht="26.25">
      <c r="G28" s="51"/>
    </row>
    <row r="29" spans="1:7" ht="26.25">
      <c r="A29" s="50" t="s">
        <v>246</v>
      </c>
      <c r="B29" s="50"/>
      <c r="C29" s="50"/>
      <c r="D29" s="50"/>
      <c r="E29" s="50"/>
      <c r="F29" s="50"/>
      <c r="G29" s="52">
        <v>3504933</v>
      </c>
    </row>
    <row r="30" spans="1:7" ht="26.25">
      <c r="A30" s="50"/>
      <c r="B30" s="50"/>
      <c r="C30" s="50"/>
      <c r="D30" s="50"/>
      <c r="E30" s="50"/>
      <c r="F30" s="50"/>
      <c r="G30" s="31"/>
    </row>
    <row r="31" spans="1:7" ht="26.25">
      <c r="A31" s="50"/>
      <c r="B31" s="50"/>
      <c r="C31" s="50"/>
      <c r="D31" s="50"/>
      <c r="E31" s="50"/>
      <c r="F31" s="50"/>
      <c r="G31" s="31"/>
    </row>
    <row r="33" spans="1:7" ht="26.25">
      <c r="A33" s="94" t="s">
        <v>252</v>
      </c>
      <c r="B33" s="94"/>
      <c r="C33" s="94"/>
      <c r="D33" s="94"/>
      <c r="E33" s="94"/>
      <c r="F33" s="94"/>
      <c r="G33" s="94"/>
    </row>
    <row r="34" spans="1:7" ht="26.25">
      <c r="A34" s="94" t="s">
        <v>238</v>
      </c>
      <c r="B34" s="94"/>
      <c r="C34" s="94"/>
      <c r="D34" s="94"/>
      <c r="E34" s="94"/>
      <c r="F34" s="94"/>
      <c r="G34" s="94"/>
    </row>
    <row r="36" spans="1:7" ht="26.25">
      <c r="A36" s="1" t="s">
        <v>264</v>
      </c>
      <c r="G36" s="1">
        <f>'RETEFTE ING LAB DIC'!C55</f>
        <v>9165430</v>
      </c>
    </row>
    <row r="38" spans="1:7" ht="26.25">
      <c r="A38" s="50" t="s">
        <v>244</v>
      </c>
      <c r="G38" s="1">
        <f>G36*25%</f>
        <v>2291357.5</v>
      </c>
    </row>
    <row r="40" spans="1:7" ht="26.25">
      <c r="A40" s="1" t="s">
        <v>245</v>
      </c>
      <c r="D40" s="1" t="s">
        <v>259</v>
      </c>
      <c r="G40" s="1">
        <f>G36-G38</f>
        <v>6874072.5</v>
      </c>
    </row>
    <row r="42" spans="1:7" ht="26.25">
      <c r="A42" s="1" t="s">
        <v>245</v>
      </c>
      <c r="D42" s="1" t="s">
        <v>0</v>
      </c>
      <c r="G42" s="51">
        <f>G40/26841</f>
        <v>256.10344249469097</v>
      </c>
    </row>
    <row r="43" ht="27" thickBot="1"/>
    <row r="44" spans="1:7" ht="27" thickBot="1">
      <c r="A44" s="50" t="s">
        <v>246</v>
      </c>
      <c r="G44" s="53">
        <v>1065802</v>
      </c>
    </row>
    <row r="47" ht="26.25">
      <c r="A47" s="1" t="s">
        <v>265</v>
      </c>
    </row>
    <row r="49" spans="1:7" ht="26.25">
      <c r="A49" s="1" t="s">
        <v>266</v>
      </c>
      <c r="G49" s="1">
        <f>G29</f>
        <v>3504933</v>
      </c>
    </row>
    <row r="51" spans="1:7" ht="26.25">
      <c r="A51" s="1" t="s">
        <v>267</v>
      </c>
      <c r="G51" s="1">
        <f>G44</f>
        <v>1065802</v>
      </c>
    </row>
    <row r="53" spans="1:7" ht="26.25">
      <c r="A53" s="50" t="s">
        <v>268</v>
      </c>
      <c r="B53" s="50"/>
      <c r="C53" s="50"/>
      <c r="D53" s="50"/>
      <c r="E53" s="50"/>
      <c r="F53" s="50"/>
      <c r="G53" s="52">
        <f>G49+G51</f>
        <v>4570735</v>
      </c>
    </row>
    <row r="66" spans="1:7" ht="26.25">
      <c r="A66" s="93" t="s">
        <v>260</v>
      </c>
      <c r="B66" s="93"/>
      <c r="C66" s="93"/>
      <c r="D66" s="93"/>
      <c r="E66" s="93"/>
      <c r="F66" s="93"/>
      <c r="G66" s="93"/>
    </row>
    <row r="67" spans="1:7" ht="26.25">
      <c r="A67" s="93" t="s">
        <v>248</v>
      </c>
      <c r="B67" s="93"/>
      <c r="C67" s="93"/>
      <c r="D67" s="93"/>
      <c r="E67" s="93"/>
      <c r="F67" s="93"/>
      <c r="G67" s="93"/>
    </row>
    <row r="69" spans="1:7" ht="26.25">
      <c r="A69" s="50" t="s">
        <v>261</v>
      </c>
      <c r="G69" s="1">
        <f>'RETEFTE ING LAB DIC'!C86</f>
        <v>255095730</v>
      </c>
    </row>
    <row r="70" spans="1:7" ht="26.25">
      <c r="A70" s="1" t="s">
        <v>253</v>
      </c>
      <c r="G70" s="19">
        <f>'RETEFTE ING LAB DIC'!C82+'RETEFTE ING LAB DIC'!C83</f>
        <v>19178260</v>
      </c>
    </row>
    <row r="71" ht="26.25">
      <c r="G71" s="50">
        <f>G69-G70</f>
        <v>235917470</v>
      </c>
    </row>
    <row r="72" ht="26.25">
      <c r="A72" s="50" t="s">
        <v>240</v>
      </c>
    </row>
    <row r="73" spans="1:11" ht="26.25">
      <c r="A73" s="1" t="s">
        <v>255</v>
      </c>
      <c r="E73" s="1">
        <f>'RETEFTE ING LAB DIC'!C155</f>
        <v>20987650</v>
      </c>
      <c r="F73" s="1">
        <f>'RETEFTE ING LAB DIC'!C155</f>
        <v>20987650</v>
      </c>
      <c r="H73" s="1" t="s">
        <v>295</v>
      </c>
      <c r="K73" s="1">
        <f>(100*26841)*12</f>
        <v>32209200</v>
      </c>
    </row>
    <row r="74" spans="1:11" ht="26.25">
      <c r="A74" s="1" t="s">
        <v>262</v>
      </c>
      <c r="E74" s="1">
        <f>'RETEFTE ING LAB DIC'!C158</f>
        <v>12098760</v>
      </c>
      <c r="F74" s="1">
        <f>16*12*26841</f>
        <v>5153472</v>
      </c>
      <c r="H74" s="1" t="s">
        <v>296</v>
      </c>
      <c r="K74" s="1">
        <f>(16*26841)*12</f>
        <v>5153472</v>
      </c>
    </row>
    <row r="75" spans="1:11" ht="26.25">
      <c r="A75" s="1" t="s">
        <v>219</v>
      </c>
      <c r="E75" s="1">
        <f>G69*10%</f>
        <v>25509573</v>
      </c>
      <c r="F75" s="1">
        <f>32*12*26841</f>
        <v>10306944</v>
      </c>
      <c r="H75" s="1" t="s">
        <v>297</v>
      </c>
      <c r="K75" s="1">
        <f>(32*26841)*12</f>
        <v>10306944</v>
      </c>
    </row>
    <row r="76" spans="1:8" ht="26.25">
      <c r="A76" s="1" t="s">
        <v>256</v>
      </c>
      <c r="F76" s="19">
        <f>'RETEFTE ING LAB DIC'!C156</f>
        <v>8886559.8</v>
      </c>
      <c r="G76" s="50">
        <f>SUM(F73:F76)</f>
        <v>45334625.8</v>
      </c>
      <c r="H76" s="1" t="s">
        <v>301</v>
      </c>
    </row>
    <row r="78" ht="26.25">
      <c r="A78" s="50" t="s">
        <v>241</v>
      </c>
    </row>
    <row r="79" spans="1:5" ht="26.25">
      <c r="A79" s="1" t="s">
        <v>292</v>
      </c>
      <c r="E79" s="1">
        <f>'RETEFTE ING LAB DIC'!C88</f>
        <v>39600000</v>
      </c>
    </row>
    <row r="80" spans="1:5" ht="26.25">
      <c r="A80" s="1" t="s">
        <v>293</v>
      </c>
      <c r="E80" s="1">
        <f>'RETEFTE ING LAB DIC'!C113</f>
        <v>9728699.8</v>
      </c>
    </row>
    <row r="81" spans="1:8" ht="26.25">
      <c r="A81" s="1" t="s">
        <v>294</v>
      </c>
      <c r="E81" s="1">
        <f>'RETEFTE ING LAB DIC'!C90</f>
        <v>2359179.7</v>
      </c>
      <c r="H81" s="1" t="s">
        <v>299</v>
      </c>
    </row>
    <row r="82" spans="1:11" ht="26.25">
      <c r="A82" s="1" t="s">
        <v>257</v>
      </c>
      <c r="E82" s="1">
        <v>0</v>
      </c>
      <c r="F82" s="1">
        <f>SUM(E79:E82)</f>
        <v>51687879.5</v>
      </c>
      <c r="G82" s="50">
        <f>F82</f>
        <v>51687879.5</v>
      </c>
      <c r="H82" s="1" t="s">
        <v>300</v>
      </c>
      <c r="K82" s="1">
        <f>G69*30%</f>
        <v>76528719</v>
      </c>
    </row>
    <row r="84" spans="1:7" ht="26.25">
      <c r="A84" s="50" t="s">
        <v>242</v>
      </c>
      <c r="G84" s="1">
        <v>0</v>
      </c>
    </row>
    <row r="85" spans="1:7" ht="26.25">
      <c r="A85" s="50"/>
      <c r="G85" s="19"/>
    </row>
    <row r="86" spans="1:7" ht="26.25">
      <c r="A86" s="50"/>
      <c r="B86" s="50" t="s">
        <v>290</v>
      </c>
      <c r="G86" s="50">
        <f>G71-G76-G82-G84</f>
        <v>138894964.7</v>
      </c>
    </row>
    <row r="87" ht="26.25">
      <c r="A87" s="50"/>
    </row>
    <row r="88" ht="26.25">
      <c r="A88" s="50"/>
    </row>
    <row r="89" spans="1:11" ht="26.25">
      <c r="A89" s="1" t="s">
        <v>244</v>
      </c>
      <c r="G89" s="50">
        <f>G86*25%</f>
        <v>34723741.175</v>
      </c>
      <c r="H89" s="1" t="s">
        <v>298</v>
      </c>
      <c r="K89" s="1">
        <f>(240*26841)*12</f>
        <v>77302080</v>
      </c>
    </row>
    <row r="90" spans="6:7" ht="26.25">
      <c r="F90" s="51">
        <f>G90/26841</f>
        <v>3881.048527439365</v>
      </c>
      <c r="G90" s="50">
        <f>G86-G89</f>
        <v>104171223.52499999</v>
      </c>
    </row>
    <row r="91" spans="1:7" ht="26.25">
      <c r="A91" s="1" t="s">
        <v>249</v>
      </c>
      <c r="E91" s="1" t="s">
        <v>259</v>
      </c>
      <c r="G91" s="1">
        <f>G90/13</f>
        <v>8013171.040384615</v>
      </c>
    </row>
    <row r="92" spans="5:7" ht="26.25">
      <c r="E92" s="1" t="s">
        <v>0</v>
      </c>
      <c r="G92" s="51">
        <f>G91/26841</f>
        <v>298.5421944184127</v>
      </c>
    </row>
    <row r="93" ht="26.25">
      <c r="G93" s="51"/>
    </row>
    <row r="94" ht="26.25">
      <c r="G94" s="51"/>
    </row>
    <row r="95" ht="26.25">
      <c r="G95" s="51"/>
    </row>
    <row r="96" ht="26.25">
      <c r="G96" s="51"/>
    </row>
    <row r="97" ht="26.25">
      <c r="G97" s="51"/>
    </row>
    <row r="98" spans="1:7" ht="26.25">
      <c r="A98" s="50" t="s">
        <v>250</v>
      </c>
      <c r="B98" s="50"/>
      <c r="C98" s="50"/>
      <c r="D98" s="50"/>
      <c r="E98" s="50"/>
      <c r="F98" s="50"/>
      <c r="G98" s="54">
        <f>G92/F90</f>
        <v>0.07692307692307693</v>
      </c>
    </row>
    <row r="102" spans="1:7" ht="26.25">
      <c r="A102" s="50" t="s">
        <v>239</v>
      </c>
      <c r="G102" s="1">
        <f>'RETEFTE ING LAB DIC'!C64</f>
        <v>62397220.4</v>
      </c>
    </row>
    <row r="103" spans="1:7" ht="26.25">
      <c r="A103" s="1" t="s">
        <v>253</v>
      </c>
      <c r="G103" s="19">
        <f>'RETEFTE ING LAB DIC'!C56+'RETEFTE ING LAB DIC'!C57</f>
        <v>16923060.4</v>
      </c>
    </row>
    <row r="104" spans="6:7" ht="26.25">
      <c r="F104" s="1" t="s">
        <v>75</v>
      </c>
      <c r="G104" s="50">
        <f>G102-G103</f>
        <v>45474160</v>
      </c>
    </row>
    <row r="105" ht="26.25">
      <c r="A105" s="50" t="s">
        <v>240</v>
      </c>
    </row>
    <row r="106" spans="1:11" ht="26.25">
      <c r="A106" s="1" t="s">
        <v>255</v>
      </c>
      <c r="E106" s="1">
        <f>'RETEFTE ING LAB DIC'!C155/12</f>
        <v>1748970.8333333333</v>
      </c>
      <c r="F106" s="1">
        <f>E106</f>
        <v>1748970.8333333333</v>
      </c>
      <c r="H106" s="1" t="s">
        <v>295</v>
      </c>
      <c r="K106" s="1">
        <f>(100*26841)</f>
        <v>2684100</v>
      </c>
    </row>
    <row r="107" spans="1:11" ht="26.25">
      <c r="A107" s="1" t="s">
        <v>262</v>
      </c>
      <c r="E107" s="1">
        <f>'RETEFTE ING LAB DIC'!C158/12</f>
        <v>1008230</v>
      </c>
      <c r="F107" s="1">
        <f>16*26841</f>
        <v>429456</v>
      </c>
      <c r="H107" s="1" t="s">
        <v>296</v>
      </c>
      <c r="K107" s="1">
        <f>(16*26841)</f>
        <v>429456</v>
      </c>
    </row>
    <row r="108" spans="1:11" ht="26.25">
      <c r="A108" s="1" t="s">
        <v>219</v>
      </c>
      <c r="E108" s="1">
        <f>G102*10%</f>
        <v>6239722.04</v>
      </c>
      <c r="F108" s="1">
        <f>32*26841</f>
        <v>858912</v>
      </c>
      <c r="H108" s="1" t="s">
        <v>297</v>
      </c>
      <c r="K108" s="1">
        <f>(32*26841)</f>
        <v>858912</v>
      </c>
    </row>
    <row r="109" spans="1:8" ht="26.25">
      <c r="A109" s="1" t="s">
        <v>256</v>
      </c>
      <c r="E109" s="1">
        <f>'RETEFTE ING LAB DIC'!C69</f>
        <v>1708350.2</v>
      </c>
      <c r="F109" s="1">
        <f>E109</f>
        <v>1708350.2</v>
      </c>
      <c r="G109" s="50">
        <f>SUM(F106:F109)</f>
        <v>4745689.033333333</v>
      </c>
      <c r="H109" s="1" t="s">
        <v>301</v>
      </c>
    </row>
    <row r="111" ht="26.25">
      <c r="A111" s="50" t="s">
        <v>241</v>
      </c>
    </row>
    <row r="112" spans="1:5" ht="26.25">
      <c r="A112" s="1" t="s">
        <v>292</v>
      </c>
      <c r="E112" s="1">
        <f>'RETEFTE ING LAB DIC'!C66</f>
        <v>3500000</v>
      </c>
    </row>
    <row r="113" spans="1:5" ht="26.25">
      <c r="A113" s="1" t="s">
        <v>293</v>
      </c>
      <c r="E113" s="1">
        <f>'RETEFTE ING LAB DIC'!C67</f>
        <v>1708350.2</v>
      </c>
    </row>
    <row r="114" spans="1:8" ht="26.25">
      <c r="A114" s="1" t="s">
        <v>294</v>
      </c>
      <c r="E114" s="1">
        <f>'RETEFTE ING LAB DIC'!C68</f>
        <v>427090.3</v>
      </c>
      <c r="H114" s="1" t="s">
        <v>299</v>
      </c>
    </row>
    <row r="115" spans="1:11" ht="26.25">
      <c r="A115" s="1" t="s">
        <v>257</v>
      </c>
      <c r="E115" s="1">
        <f>'RETEFTE ING LAB DIC'!C70</f>
        <v>3600000</v>
      </c>
      <c r="F115" s="1">
        <f>SUM(E112:E115)</f>
        <v>9235440.5</v>
      </c>
      <c r="G115" s="50">
        <f>F115</f>
        <v>9235440.5</v>
      </c>
      <c r="H115" s="1" t="s">
        <v>300</v>
      </c>
      <c r="K115" s="1">
        <f>G102*30%</f>
        <v>18719166.119999997</v>
      </c>
    </row>
    <row r="117" ht="26.25">
      <c r="A117" s="50" t="s">
        <v>242</v>
      </c>
    </row>
    <row r="118" spans="1:7" ht="26.25">
      <c r="A118" s="1" t="s">
        <v>258</v>
      </c>
      <c r="G118" s="50">
        <f>'RETEFTE ING LAB DIC'!C62</f>
        <v>2765430</v>
      </c>
    </row>
    <row r="120" spans="2:7" ht="26.25">
      <c r="B120" s="50" t="s">
        <v>290</v>
      </c>
      <c r="G120" s="50">
        <f>G104-G109-G115-G118</f>
        <v>28727600.46666667</v>
      </c>
    </row>
    <row r="122" spans="1:11" ht="26.25">
      <c r="A122" s="50" t="s">
        <v>244</v>
      </c>
      <c r="G122" s="50">
        <f>G120*25%</f>
        <v>7181900.116666667</v>
      </c>
      <c r="H122" s="1" t="s">
        <v>298</v>
      </c>
      <c r="K122" s="1">
        <f>240*26841</f>
        <v>6441840</v>
      </c>
    </row>
    <row r="125" spans="1:7" ht="26.25">
      <c r="A125" s="1" t="s">
        <v>247</v>
      </c>
      <c r="E125" s="55" t="s">
        <v>263</v>
      </c>
      <c r="G125" s="1">
        <f>G120-G122</f>
        <v>21545700.35</v>
      </c>
    </row>
    <row r="127" spans="1:7" ht="26.25">
      <c r="A127" s="1" t="s">
        <v>250</v>
      </c>
      <c r="G127" s="56">
        <f>G98</f>
        <v>0.07692307692307693</v>
      </c>
    </row>
    <row r="128" ht="26.25">
      <c r="G128" s="57"/>
    </row>
    <row r="129" spans="1:7" ht="26.25">
      <c r="A129" s="50" t="s">
        <v>251</v>
      </c>
      <c r="B129" s="50"/>
      <c r="C129" s="50"/>
      <c r="D129" s="50"/>
      <c r="E129" s="50"/>
      <c r="F129" s="50"/>
      <c r="G129" s="52">
        <f>G125*G127</f>
        <v>1657361.5653846157</v>
      </c>
    </row>
    <row r="133" spans="1:7" ht="26.25">
      <c r="A133" s="91" t="s">
        <v>269</v>
      </c>
      <c r="B133" s="91"/>
      <c r="C133" s="91"/>
      <c r="D133" s="91"/>
      <c r="E133" s="91"/>
      <c r="F133" s="91"/>
      <c r="G133" s="91"/>
    </row>
    <row r="134" spans="1:7" ht="26.25">
      <c r="A134" s="91" t="s">
        <v>270</v>
      </c>
      <c r="B134" s="91"/>
      <c r="C134" s="91"/>
      <c r="D134" s="91"/>
      <c r="E134" s="91"/>
      <c r="F134" s="91"/>
      <c r="G134" s="91"/>
    </row>
    <row r="137" spans="1:7" ht="26.25">
      <c r="A137" s="50" t="s">
        <v>239</v>
      </c>
      <c r="G137" s="1">
        <f>'RETEFTE ING LAB DIC'!C64</f>
        <v>62397220.4</v>
      </c>
    </row>
    <row r="138" spans="1:7" ht="26.25">
      <c r="A138" s="1" t="s">
        <v>253</v>
      </c>
      <c r="G138" s="19">
        <f>'RETEFTE ING LAB DIC'!C56+'RETEFTE ING LAB DIC'!C57</f>
        <v>16923060.4</v>
      </c>
    </row>
    <row r="139" spans="1:7" ht="26.25">
      <c r="A139" s="50"/>
      <c r="F139" s="1" t="s">
        <v>243</v>
      </c>
      <c r="G139" s="1">
        <f>G137-G138</f>
        <v>45474160</v>
      </c>
    </row>
    <row r="141" ht="26.25">
      <c r="A141" s="50" t="s">
        <v>291</v>
      </c>
    </row>
    <row r="143" spans="1:5" ht="26.25">
      <c r="A143" s="1" t="s">
        <v>292</v>
      </c>
      <c r="E143" s="1">
        <f>'RETEFTE ING LAB DIC'!C66</f>
        <v>3500000</v>
      </c>
    </row>
    <row r="144" spans="1:7" ht="26.25">
      <c r="A144" s="1" t="s">
        <v>293</v>
      </c>
      <c r="E144" s="1">
        <f>'RETEFTE ING LAB DIC'!C67</f>
        <v>1708350.2</v>
      </c>
      <c r="G144" s="1">
        <f>G137*30%</f>
        <v>18719166.119999997</v>
      </c>
    </row>
    <row r="145" spans="1:7" ht="26.25">
      <c r="A145" s="1" t="s">
        <v>294</v>
      </c>
      <c r="E145" s="1">
        <f>'RETEFTE ING LAB DIC'!C68</f>
        <v>427090.3</v>
      </c>
      <c r="F145" s="1">
        <f>SUM(E143:E145)</f>
        <v>5635440.5</v>
      </c>
      <c r="G145" s="1">
        <f>F145</f>
        <v>5635440.5</v>
      </c>
    </row>
    <row r="147" spans="1:7" ht="26.25">
      <c r="A147" s="1" t="s">
        <v>256</v>
      </c>
      <c r="G147" s="1">
        <f>'RETEFTE ING LAB DIC'!C69</f>
        <v>1708350.2</v>
      </c>
    </row>
    <row r="149" spans="1:7" ht="26.25">
      <c r="A149" s="1" t="s">
        <v>245</v>
      </c>
      <c r="E149" s="55" t="s">
        <v>263</v>
      </c>
      <c r="G149" s="1">
        <f>G139-G145-G147</f>
        <v>38130369.3</v>
      </c>
    </row>
    <row r="150" ht="26.25">
      <c r="E150" s="55"/>
    </row>
    <row r="151" spans="1:7" ht="26.25">
      <c r="A151" s="1" t="s">
        <v>245</v>
      </c>
      <c r="E151" s="55" t="s">
        <v>0</v>
      </c>
      <c r="G151" s="51">
        <f>G149/26841</f>
        <v>1420.6016653626914</v>
      </c>
    </row>
    <row r="153" spans="1:7" ht="26.25">
      <c r="A153" s="1" t="s">
        <v>271</v>
      </c>
      <c r="F153" s="1" t="s">
        <v>272</v>
      </c>
      <c r="G153" s="51">
        <f>G151*27%</f>
        <v>383.5624496479267</v>
      </c>
    </row>
    <row r="154" spans="5:7" ht="26.25">
      <c r="E154" s="1" t="s">
        <v>273</v>
      </c>
      <c r="G154" s="51">
        <v>135.17</v>
      </c>
    </row>
    <row r="155" ht="26.25">
      <c r="G155" s="51">
        <f>G153-G154</f>
        <v>248.39244964792672</v>
      </c>
    </row>
    <row r="157" spans="1:7" ht="26.25">
      <c r="A157" s="50" t="s">
        <v>246</v>
      </c>
      <c r="B157" s="50"/>
      <c r="G157" s="52">
        <f>G155*26841</f>
        <v>6667101.741000001</v>
      </c>
    </row>
    <row r="160" spans="1:6" ht="26.25">
      <c r="A160" s="1" t="s">
        <v>274</v>
      </c>
      <c r="F160" s="1">
        <f>G53</f>
        <v>4570735</v>
      </c>
    </row>
    <row r="161" spans="1:6" ht="26.25">
      <c r="A161" s="1" t="s">
        <v>275</v>
      </c>
      <c r="F161" s="1">
        <f>G129</f>
        <v>1657361.5653846157</v>
      </c>
    </row>
    <row r="162" spans="1:7" ht="26.25">
      <c r="A162" s="1" t="s">
        <v>276</v>
      </c>
      <c r="F162" s="1">
        <f>G157</f>
        <v>6667101.741000001</v>
      </c>
      <c r="G162" s="52">
        <f>F162</f>
        <v>6667101.741000001</v>
      </c>
    </row>
  </sheetData>
  <sheetProtection/>
  <mergeCells count="8">
    <mergeCell ref="A133:G133"/>
    <mergeCell ref="A134:G134"/>
    <mergeCell ref="A1:G1"/>
    <mergeCell ref="A2:G2"/>
    <mergeCell ref="A66:G66"/>
    <mergeCell ref="A67:G67"/>
    <mergeCell ref="A33:G33"/>
    <mergeCell ref="A34:G3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3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4.28125" style="12" customWidth="1"/>
    <col min="2" max="16384" width="11.421875" style="12" customWidth="1"/>
  </cols>
  <sheetData>
    <row r="1" spans="1:12" ht="22.5">
      <c r="A1" s="95" t="s">
        <v>94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ht="18.75">
      <c r="A2" s="13"/>
    </row>
    <row r="3" spans="1:12" ht="18.75">
      <c r="A3" s="96" t="s">
        <v>99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5" spans="1:12" ht="25.5">
      <c r="A5" s="97" t="s">
        <v>95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7" spans="1:2" ht="18.75">
      <c r="A7" s="13"/>
      <c r="B7" s="13"/>
    </row>
    <row r="8" spans="1:2" ht="18.75">
      <c r="A8" s="13" t="s">
        <v>102</v>
      </c>
      <c r="B8" s="13"/>
    </row>
    <row r="9" ht="18.75">
      <c r="B9" s="13"/>
    </row>
    <row r="10" spans="1:2" ht="18.75">
      <c r="A10" s="13" t="s">
        <v>96</v>
      </c>
      <c r="B10" s="13" t="s">
        <v>97</v>
      </c>
    </row>
    <row r="11" spans="1:3" ht="18.75">
      <c r="A11" s="13"/>
      <c r="B11" s="13" t="s">
        <v>98</v>
      </c>
      <c r="C11" s="12" t="s">
        <v>100</v>
      </c>
    </row>
    <row r="12" spans="1:3" ht="18.75">
      <c r="A12" s="13"/>
      <c r="B12" s="13" t="s">
        <v>101</v>
      </c>
      <c r="C12" s="12" t="s">
        <v>103</v>
      </c>
    </row>
    <row r="13" ht="18.75">
      <c r="C13" s="12" t="s">
        <v>104</v>
      </c>
    </row>
    <row r="14" spans="1:3" ht="18.75">
      <c r="A14" s="13"/>
      <c r="B14" s="13"/>
      <c r="C14" s="12" t="s">
        <v>105</v>
      </c>
    </row>
    <row r="16" spans="1:2" ht="18.75">
      <c r="A16" s="13"/>
      <c r="B16" s="13" t="s">
        <v>111</v>
      </c>
    </row>
    <row r="17" spans="1:2" ht="18.75">
      <c r="A17" s="13"/>
      <c r="B17" s="13"/>
    </row>
    <row r="18" spans="1:2" ht="18.75">
      <c r="A18" s="13" t="s">
        <v>106</v>
      </c>
      <c r="B18" s="13" t="s">
        <v>107</v>
      </c>
    </row>
    <row r="19" spans="1:2" ht="18.75">
      <c r="A19" s="13"/>
      <c r="B19" s="12" t="s">
        <v>108</v>
      </c>
    </row>
    <row r="20" spans="1:2" ht="18.75">
      <c r="A20" s="13"/>
      <c r="B20" s="12" t="s">
        <v>109</v>
      </c>
    </row>
    <row r="21" ht="18.75">
      <c r="B21" s="12" t="s">
        <v>110</v>
      </c>
    </row>
    <row r="22" spans="1:2" ht="18.75">
      <c r="A22" s="13"/>
      <c r="B22" s="13"/>
    </row>
    <row r="23" spans="1:2" ht="18.75">
      <c r="A23" s="13" t="s">
        <v>5</v>
      </c>
      <c r="B23" s="13" t="s">
        <v>112</v>
      </c>
    </row>
    <row r="24" spans="2:3" ht="18.75">
      <c r="B24" s="13" t="s">
        <v>113</v>
      </c>
      <c r="C24" s="12" t="s">
        <v>114</v>
      </c>
    </row>
    <row r="28" spans="1:12" ht="18.75">
      <c r="A28" s="98" t="s">
        <v>160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1:2" ht="18.75">
      <c r="A29" s="13" t="s">
        <v>115</v>
      </c>
      <c r="B29" s="13" t="s">
        <v>116</v>
      </c>
    </row>
    <row r="30" spans="1:4" ht="18.75">
      <c r="A30" s="13"/>
      <c r="B30" s="13" t="s">
        <v>117</v>
      </c>
      <c r="C30" s="13"/>
      <c r="D30" s="13" t="s">
        <v>118</v>
      </c>
    </row>
    <row r="31" spans="1:4" ht="18.75">
      <c r="A31" s="13"/>
      <c r="B31" s="13"/>
      <c r="C31" s="13"/>
      <c r="D31" s="13" t="s">
        <v>119</v>
      </c>
    </row>
    <row r="32" ht="18.75">
      <c r="B32" s="12" t="s">
        <v>120</v>
      </c>
    </row>
    <row r="33" ht="18.75">
      <c r="B33" s="12" t="s">
        <v>121</v>
      </c>
    </row>
    <row r="34" ht="18.75">
      <c r="B34" s="12" t="s">
        <v>122</v>
      </c>
    </row>
    <row r="35" ht="18.75">
      <c r="B35" s="12" t="s">
        <v>126</v>
      </c>
    </row>
    <row r="37" spans="2:12" ht="18.75">
      <c r="B37" s="39" t="s">
        <v>123</v>
      </c>
      <c r="C37" s="40"/>
      <c r="D37" s="40"/>
      <c r="E37" s="40"/>
      <c r="F37" s="40"/>
      <c r="G37" s="40"/>
      <c r="H37" s="40"/>
      <c r="I37" s="40"/>
      <c r="J37" s="40"/>
      <c r="K37" s="40"/>
      <c r="L37" s="41"/>
    </row>
    <row r="38" spans="2:12" ht="18.7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4"/>
    </row>
    <row r="39" spans="2:12" ht="18.75">
      <c r="B39" s="42" t="s">
        <v>124</v>
      </c>
      <c r="C39" s="43"/>
      <c r="D39" s="43"/>
      <c r="E39" s="43"/>
      <c r="F39" s="43"/>
      <c r="G39" s="43"/>
      <c r="H39" s="43"/>
      <c r="I39" s="43"/>
      <c r="J39" s="43"/>
      <c r="K39" s="43"/>
      <c r="L39" s="44"/>
    </row>
    <row r="40" spans="2:12" ht="18.75">
      <c r="B40" s="45" t="s">
        <v>125</v>
      </c>
      <c r="C40" s="46"/>
      <c r="D40" s="46"/>
      <c r="E40" s="46"/>
      <c r="F40" s="46"/>
      <c r="G40" s="46"/>
      <c r="H40" s="46"/>
      <c r="I40" s="46"/>
      <c r="J40" s="46"/>
      <c r="K40" s="46"/>
      <c r="L40" s="47"/>
    </row>
    <row r="41" ht="18.75">
      <c r="D41" s="14"/>
    </row>
    <row r="42" spans="1:4" ht="18.75">
      <c r="A42" s="13" t="s">
        <v>127</v>
      </c>
      <c r="B42" s="13" t="s">
        <v>128</v>
      </c>
      <c r="D42" s="14"/>
    </row>
    <row r="43" ht="18.75">
      <c r="B43" s="13" t="s">
        <v>129</v>
      </c>
    </row>
    <row r="44" ht="18.75">
      <c r="B44" s="12" t="s">
        <v>130</v>
      </c>
    </row>
    <row r="45" ht="18.75">
      <c r="B45" s="12" t="s">
        <v>131</v>
      </c>
    </row>
    <row r="47" ht="18.75">
      <c r="B47" s="12" t="s">
        <v>132</v>
      </c>
    </row>
    <row r="48" ht="18.75">
      <c r="B48" s="12" t="s">
        <v>133</v>
      </c>
    </row>
    <row r="49" spans="2:6" ht="18.75">
      <c r="B49" s="12" t="s">
        <v>134</v>
      </c>
      <c r="D49" s="14">
        <v>0.125</v>
      </c>
      <c r="F49" s="13" t="s">
        <v>136</v>
      </c>
    </row>
    <row r="50" spans="2:6" ht="18.75">
      <c r="B50" s="12" t="s">
        <v>135</v>
      </c>
      <c r="D50" s="14">
        <v>0.16</v>
      </c>
      <c r="F50" s="13" t="s">
        <v>137</v>
      </c>
    </row>
    <row r="52" ht="18.75">
      <c r="B52" s="12" t="s">
        <v>277</v>
      </c>
    </row>
    <row r="53" ht="18.75">
      <c r="B53" s="12" t="s">
        <v>278</v>
      </c>
    </row>
    <row r="56" spans="1:12" ht="18.75">
      <c r="A56" s="98" t="s">
        <v>160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8" ht="18.75">
      <c r="B58" s="13" t="s">
        <v>138</v>
      </c>
    </row>
    <row r="59" ht="18.75">
      <c r="B59" s="12" t="s">
        <v>139</v>
      </c>
    </row>
    <row r="60" ht="18.75">
      <c r="B60" s="12" t="s">
        <v>140</v>
      </c>
    </row>
    <row r="62" ht="18.75">
      <c r="B62" s="13" t="s">
        <v>141</v>
      </c>
    </row>
    <row r="63" ht="18.75">
      <c r="B63" s="13" t="s">
        <v>142</v>
      </c>
    </row>
    <row r="64" ht="18.75">
      <c r="B64" s="13" t="s">
        <v>143</v>
      </c>
    </row>
    <row r="65" ht="18.75">
      <c r="B65" s="12" t="s">
        <v>144</v>
      </c>
    </row>
    <row r="66" ht="18.75">
      <c r="B66" s="12" t="s">
        <v>145</v>
      </c>
    </row>
    <row r="67" ht="18.75">
      <c r="B67" s="12" t="s">
        <v>146</v>
      </c>
    </row>
    <row r="68" ht="18.75">
      <c r="B68" s="12" t="s">
        <v>147</v>
      </c>
    </row>
    <row r="69" ht="18.75">
      <c r="B69" s="13"/>
    </row>
    <row r="70" spans="2:12" ht="18.75">
      <c r="B70" s="48" t="s">
        <v>148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</row>
    <row r="71" spans="2:12" ht="18.75">
      <c r="B71" s="49" t="s">
        <v>149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</row>
    <row r="72" spans="2:12" ht="18.75">
      <c r="B72" s="49" t="s">
        <v>150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</row>
    <row r="73" spans="2:12" ht="18.75">
      <c r="B73" s="49" t="s">
        <v>151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</row>
    <row r="74" spans="2:12" ht="18.75">
      <c r="B74" s="49" t="s">
        <v>152</v>
      </c>
      <c r="C74" s="49"/>
      <c r="D74" s="49"/>
      <c r="E74" s="49"/>
      <c r="F74" s="49"/>
      <c r="G74" s="49"/>
      <c r="H74" s="49"/>
      <c r="I74" s="49"/>
      <c r="J74" s="49"/>
      <c r="K74" s="49"/>
      <c r="L74" s="49"/>
    </row>
    <row r="75" spans="2:12" ht="18.75">
      <c r="B75" s="49" t="s">
        <v>153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</row>
    <row r="76" spans="2:12" ht="18.75">
      <c r="B76" s="49" t="s">
        <v>154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</row>
    <row r="77" spans="2:12" ht="18.75">
      <c r="B77" s="49" t="s">
        <v>155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</row>
    <row r="79" spans="2:12" ht="18.75">
      <c r="B79" s="15" t="s">
        <v>156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1" ht="18.75">
      <c r="B81" s="13" t="s">
        <v>157</v>
      </c>
    </row>
    <row r="82" ht="18.75">
      <c r="B82" s="12" t="s">
        <v>158</v>
      </c>
    </row>
    <row r="83" ht="18.75">
      <c r="B83" s="15" t="s">
        <v>159</v>
      </c>
    </row>
    <row r="86" spans="1:12" ht="18.75">
      <c r="A86" s="98" t="s">
        <v>160</v>
      </c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1:12" ht="25.5">
      <c r="A87" s="97" t="s">
        <v>161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</row>
    <row r="88" spans="1:12" ht="25.5">
      <c r="A88" s="97" t="s">
        <v>162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</row>
    <row r="89" spans="1:12" ht="25.5">
      <c r="A89" s="97" t="s">
        <v>163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</row>
    <row r="90" spans="1:12" ht="30">
      <c r="A90" s="99" t="s">
        <v>279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</row>
    <row r="91" spans="1:12" ht="25.5">
      <c r="A91" s="97" t="s">
        <v>280</v>
      </c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</row>
    <row r="93" ht="18.75">
      <c r="A93" s="12" t="s">
        <v>164</v>
      </c>
    </row>
    <row r="95" ht="18.75">
      <c r="A95" s="12" t="s">
        <v>165</v>
      </c>
    </row>
    <row r="96" ht="18.75">
      <c r="A96" s="12" t="s">
        <v>166</v>
      </c>
    </row>
    <row r="98" spans="1:10" ht="18.75">
      <c r="A98" s="12" t="s">
        <v>167</v>
      </c>
      <c r="J98" s="12" t="s">
        <v>168</v>
      </c>
    </row>
    <row r="100" ht="18.75">
      <c r="A100" s="12" t="s">
        <v>169</v>
      </c>
    </row>
    <row r="101" ht="18.75">
      <c r="A101" s="12" t="s">
        <v>170</v>
      </c>
    </row>
    <row r="102" ht="18.75">
      <c r="A102" s="12" t="s">
        <v>171</v>
      </c>
    </row>
    <row r="104" ht="18.75">
      <c r="A104" s="12" t="s">
        <v>172</v>
      </c>
    </row>
    <row r="105" spans="1:9" ht="18.75">
      <c r="A105" s="12" t="s">
        <v>173</v>
      </c>
      <c r="I105" s="12" t="s">
        <v>174</v>
      </c>
    </row>
    <row r="107" ht="18.75">
      <c r="A107" s="12" t="s">
        <v>175</v>
      </c>
    </row>
    <row r="108" ht="18.75">
      <c r="A108" s="12" t="s">
        <v>176</v>
      </c>
    </row>
    <row r="109" ht="18.75">
      <c r="A109" s="15" t="s">
        <v>177</v>
      </c>
    </row>
    <row r="110" ht="18.75">
      <c r="A110" s="15" t="s">
        <v>178</v>
      </c>
    </row>
    <row r="114" spans="1:12" ht="18.75">
      <c r="A114" s="98" t="s">
        <v>160</v>
      </c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</row>
    <row r="116" ht="18.75">
      <c r="A116" s="12" t="s">
        <v>179</v>
      </c>
    </row>
    <row r="117" ht="18.75">
      <c r="A117" s="12" t="s">
        <v>180</v>
      </c>
    </row>
    <row r="118" ht="18.75">
      <c r="A118" s="12" t="s">
        <v>181</v>
      </c>
    </row>
    <row r="119" ht="18.75">
      <c r="A119" s="12" t="s">
        <v>182</v>
      </c>
    </row>
    <row r="120" ht="18.75">
      <c r="A120" s="12" t="s">
        <v>183</v>
      </c>
    </row>
    <row r="121" ht="18.75">
      <c r="A121" s="12" t="s">
        <v>184</v>
      </c>
    </row>
    <row r="123" ht="18.75">
      <c r="B123" s="15" t="s">
        <v>185</v>
      </c>
    </row>
    <row r="124" ht="18.75">
      <c r="B124" s="15"/>
    </row>
    <row r="125" ht="18.75">
      <c r="B125" s="15"/>
    </row>
    <row r="126" ht="18.75">
      <c r="B126" s="15"/>
    </row>
    <row r="127" ht="18.75">
      <c r="B127" s="15"/>
    </row>
    <row r="128" ht="18.75">
      <c r="B128" s="15"/>
    </row>
    <row r="129" ht="18.75">
      <c r="B129" s="15"/>
    </row>
    <row r="130" ht="18.75">
      <c r="B130" s="15"/>
    </row>
    <row r="131" ht="18.75">
      <c r="B131" s="15"/>
    </row>
    <row r="132" ht="18.75">
      <c r="B132" s="15"/>
    </row>
    <row r="133" ht="18.75">
      <c r="B133" s="15"/>
    </row>
    <row r="134" ht="18.75">
      <c r="B134" s="15"/>
    </row>
    <row r="135" ht="18.75">
      <c r="B135" s="15"/>
    </row>
    <row r="136" ht="18.75">
      <c r="B136" s="15"/>
    </row>
    <row r="137" ht="18.75">
      <c r="B137" s="15"/>
    </row>
    <row r="138" ht="18.75">
      <c r="B138" s="15"/>
    </row>
    <row r="139" ht="18.75">
      <c r="B139" s="15"/>
    </row>
    <row r="140" ht="18.75">
      <c r="B140" s="15"/>
    </row>
    <row r="141" ht="18.75">
      <c r="B141" s="15"/>
    </row>
    <row r="143" spans="1:12" ht="18.75">
      <c r="A143" s="98" t="s">
        <v>160</v>
      </c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</row>
  </sheetData>
  <sheetProtection/>
  <mergeCells count="13">
    <mergeCell ref="A87:L87"/>
    <mergeCell ref="A88:L88"/>
    <mergeCell ref="A89:L89"/>
    <mergeCell ref="A91:L91"/>
    <mergeCell ref="A114:L114"/>
    <mergeCell ref="A143:L143"/>
    <mergeCell ref="A90:L90"/>
    <mergeCell ref="A1:L1"/>
    <mergeCell ref="A3:L3"/>
    <mergeCell ref="A5:L5"/>
    <mergeCell ref="A28:L28"/>
    <mergeCell ref="A56:L56"/>
    <mergeCell ref="A86:L86"/>
  </mergeCells>
  <printOptions horizontalCentered="1" verticalCentered="1"/>
  <pageMargins left="0.3937007874015748" right="0.3937007874015748" top="0.3937007874015748" bottom="0.3937007874015748" header="0" footer="0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grupo gestion consultores auditores s.a.</cp:lastModifiedBy>
  <cp:lastPrinted>2013-11-16T02:21:07Z</cp:lastPrinted>
  <dcterms:created xsi:type="dcterms:W3CDTF">2007-04-20T20:45:41Z</dcterms:created>
  <dcterms:modified xsi:type="dcterms:W3CDTF">2013-11-20T17:44:03Z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