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ricio\Dropbox\_Tutoriales youtube\12-2020 -cierre anual de obligacioens laborales- Luis M. Merino\"/>
    </mc:Choice>
  </mc:AlternateContent>
  <xr:revisionPtr revIDLastSave="0" documentId="8_{F9D2A075-9F1E-4803-9BA8-14497BF4B111}" xr6:coauthVersionLast="45" xr6:coauthVersionMax="45" xr10:uidLastSave="{00000000-0000-0000-0000-000000000000}"/>
  <bookViews>
    <workbookView xWindow="-120" yWindow="-120" windowWidth="20730" windowHeight="11160" firstSheet="2" activeTab="5" xr2:uid="{0DE576C6-633D-4B7D-BD83-95B30173EDF6}"/>
  </bookViews>
  <sheets>
    <sheet name="X" sheetId="1" r:id="rId1"/>
    <sheet name="LIQUIDACIÓN CASO 1" sheetId="3" r:id="rId2"/>
    <sheet name="LIQUIDACIÓN CASO 2" sheetId="4" r:id="rId3"/>
    <sheet name="LIQUIDACIÓN CASO 3." sheetId="5" r:id="rId4"/>
    <sheet name="LIQUIDACIÓN CASO 4" sheetId="6" r:id="rId5"/>
    <sheet name="LIQUIDACIÓN CASO 5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7" l="1"/>
  <c r="J41" i="7" s="1"/>
  <c r="F28" i="7" l="1"/>
  <c r="E36" i="7"/>
  <c r="G36" i="7" s="1"/>
  <c r="F30" i="7"/>
  <c r="C19" i="7"/>
  <c r="G19" i="7" s="1"/>
  <c r="C18" i="7"/>
  <c r="G18" i="7" s="1"/>
  <c r="C17" i="7"/>
  <c r="G17" i="7" s="1"/>
  <c r="C16" i="7"/>
  <c r="G16" i="7" s="1"/>
  <c r="C15" i="7"/>
  <c r="G15" i="7" s="1"/>
  <c r="G12" i="7"/>
  <c r="D10" i="7"/>
  <c r="G8" i="7"/>
  <c r="C11" i="7" s="1"/>
  <c r="G11" i="7" s="1"/>
  <c r="I40" i="7" l="1"/>
  <c r="J43" i="7" s="1"/>
  <c r="C35" i="7"/>
  <c r="C37" i="7"/>
  <c r="E37" i="7" s="1"/>
  <c r="G37" i="7" s="1"/>
  <c r="G35" i="7"/>
  <c r="G32" i="7"/>
  <c r="C10" i="7"/>
  <c r="F29" i="6"/>
  <c r="D12" i="4"/>
  <c r="C42" i="4"/>
  <c r="L43" i="4"/>
  <c r="L42" i="4"/>
  <c r="L41" i="4"/>
  <c r="L40" i="4"/>
  <c r="L38" i="4"/>
  <c r="L39" i="4"/>
  <c r="L47" i="4" s="1"/>
  <c r="C33" i="4" s="1"/>
  <c r="G33" i="4" s="1"/>
  <c r="L37" i="4"/>
  <c r="L36" i="4"/>
  <c r="L35" i="4"/>
  <c r="L34" i="4"/>
  <c r="L33" i="4"/>
  <c r="L46" i="4" s="1"/>
  <c r="L32" i="4"/>
  <c r="L44" i="4" s="1"/>
  <c r="F30" i="4"/>
  <c r="C36" i="4" s="1"/>
  <c r="C37" i="4" l="1"/>
  <c r="C32" i="4"/>
  <c r="L45" i="4"/>
  <c r="C34" i="4" s="1"/>
  <c r="C38" i="4"/>
  <c r="J31" i="7"/>
  <c r="J32" i="7" s="1"/>
  <c r="J34" i="7" s="1"/>
  <c r="G40" i="7"/>
  <c r="G39" i="7"/>
  <c r="E21" i="7"/>
  <c r="G21" i="7" s="1"/>
  <c r="E20" i="7"/>
  <c r="G20" i="7" s="1"/>
  <c r="G10" i="7"/>
  <c r="G33" i="7"/>
  <c r="C34" i="7"/>
  <c r="G34" i="7" s="1"/>
  <c r="G42" i="4"/>
  <c r="F28" i="5"/>
  <c r="C12" i="6"/>
  <c r="G12" i="6" s="1"/>
  <c r="C11" i="6"/>
  <c r="G11" i="6" s="1"/>
  <c r="F30" i="6"/>
  <c r="F28" i="6"/>
  <c r="E36" i="6"/>
  <c r="G36" i="6" s="1"/>
  <c r="G35" i="6"/>
  <c r="C19" i="6"/>
  <c r="G19" i="6" s="1"/>
  <c r="C18" i="6"/>
  <c r="G18" i="6" s="1"/>
  <c r="C17" i="6"/>
  <c r="G17" i="6" s="1"/>
  <c r="G16" i="6"/>
  <c r="C16" i="6"/>
  <c r="C15" i="6"/>
  <c r="G15" i="6" s="1"/>
  <c r="D10" i="6"/>
  <c r="G8" i="6"/>
  <c r="F30" i="5"/>
  <c r="E36" i="5"/>
  <c r="G36" i="5" s="1"/>
  <c r="C19" i="5"/>
  <c r="G19" i="5" s="1"/>
  <c r="G18" i="5"/>
  <c r="C18" i="5"/>
  <c r="C17" i="5"/>
  <c r="G17" i="5" s="1"/>
  <c r="G16" i="5"/>
  <c r="C16" i="5"/>
  <c r="C15" i="5"/>
  <c r="G15" i="5" s="1"/>
  <c r="G12" i="5"/>
  <c r="D10" i="5"/>
  <c r="G8" i="5"/>
  <c r="C11" i="5" s="1"/>
  <c r="G11" i="5" s="1"/>
  <c r="E37" i="4"/>
  <c r="G37" i="4" s="1"/>
  <c r="C19" i="4"/>
  <c r="G19" i="4" s="1"/>
  <c r="C18" i="4"/>
  <c r="G18" i="4" s="1"/>
  <c r="C17" i="4"/>
  <c r="G17" i="4" s="1"/>
  <c r="C16" i="4"/>
  <c r="G16" i="4" s="1"/>
  <c r="C15" i="4"/>
  <c r="G15" i="4" s="1"/>
  <c r="G11" i="4"/>
  <c r="D10" i="4"/>
  <c r="G8" i="4"/>
  <c r="C36" i="3"/>
  <c r="C32" i="6" l="1"/>
  <c r="C33" i="5"/>
  <c r="C40" i="5"/>
  <c r="G40" i="5" s="1"/>
  <c r="C35" i="5"/>
  <c r="C12" i="4"/>
  <c r="G12" i="4" s="1"/>
  <c r="G24" i="7"/>
  <c r="G42" i="7" s="1"/>
  <c r="G32" i="4"/>
  <c r="C35" i="4"/>
  <c r="E38" i="4"/>
  <c r="G38" i="4" s="1"/>
  <c r="G36" i="4"/>
  <c r="C39" i="4"/>
  <c r="G39" i="4" s="1"/>
  <c r="G35" i="5"/>
  <c r="C32" i="5"/>
  <c r="G32" i="5" s="1"/>
  <c r="C10" i="6"/>
  <c r="G10" i="6" s="1"/>
  <c r="E20" i="6"/>
  <c r="G20" i="6" s="1"/>
  <c r="E21" i="6"/>
  <c r="G21" i="6" s="1"/>
  <c r="E37" i="6"/>
  <c r="G37" i="6" s="1"/>
  <c r="G32" i="6"/>
  <c r="C10" i="5"/>
  <c r="E37" i="5"/>
  <c r="G37" i="5" s="1"/>
  <c r="C10" i="4"/>
  <c r="G10" i="4" s="1"/>
  <c r="E36" i="3"/>
  <c r="G36" i="3" s="1"/>
  <c r="G24" i="6" l="1"/>
  <c r="E20" i="5"/>
  <c r="G20" i="5" s="1"/>
  <c r="G10" i="5"/>
  <c r="E21" i="5"/>
  <c r="G21" i="5" s="1"/>
  <c r="E20" i="4"/>
  <c r="G20" i="4" s="1"/>
  <c r="G34" i="6"/>
  <c r="G33" i="6"/>
  <c r="C34" i="5"/>
  <c r="G34" i="5" s="1"/>
  <c r="G33" i="5"/>
  <c r="G39" i="5" s="1"/>
  <c r="G42" i="5" s="1"/>
  <c r="E21" i="4"/>
  <c r="G21" i="4" s="1"/>
  <c r="G24" i="4" s="1"/>
  <c r="G35" i="4"/>
  <c r="G34" i="4"/>
  <c r="G41" i="4" s="1"/>
  <c r="G44" i="4" s="1"/>
  <c r="G8" i="3"/>
  <c r="G42" i="6" l="1"/>
  <c r="G24" i="5"/>
  <c r="F30" i="3"/>
  <c r="D10" i="3"/>
  <c r="C19" i="3"/>
  <c r="G19" i="3" s="1"/>
  <c r="C18" i="3"/>
  <c r="G18" i="3" s="1"/>
  <c r="C17" i="3"/>
  <c r="G17" i="3" s="1"/>
  <c r="C16" i="3"/>
  <c r="G16" i="3" s="1"/>
  <c r="C15" i="3"/>
  <c r="G15" i="3" s="1"/>
  <c r="G12" i="3"/>
  <c r="G11" i="3"/>
  <c r="C33" i="3" l="1"/>
  <c r="C34" i="3" s="1"/>
  <c r="C37" i="3"/>
  <c r="C32" i="3"/>
  <c r="G32" i="3" s="1"/>
  <c r="C35" i="3"/>
  <c r="G35" i="3" s="1"/>
  <c r="E37" i="3"/>
  <c r="G37" i="3" s="1"/>
  <c r="C10" i="3"/>
  <c r="G10" i="3" s="1"/>
  <c r="E20" i="3" l="1"/>
  <c r="G20" i="3" s="1"/>
  <c r="E21" i="3"/>
  <c r="G21" i="3" s="1"/>
  <c r="G24" i="3" s="1"/>
  <c r="G34" i="3"/>
  <c r="G33" i="3"/>
  <c r="G4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Abogado</author>
  </authors>
  <commentList>
    <comment ref="B23" authorId="0" shapeId="0" xr:uid="{E0436FC4-7DB4-4836-A9D3-3C73C8FE6B18}">
      <text>
        <r>
          <rPr>
            <b/>
            <sz val="9"/>
            <color indexed="81"/>
            <rFont val="Tahoma"/>
            <family val="2"/>
          </rPr>
          <t xml:space="preserve">Abogado:
</t>
        </r>
        <r>
          <rPr>
            <sz val="9"/>
            <color indexed="81"/>
            <rFont val="Tahoma"/>
            <family val="2"/>
          </rPr>
          <t>Estan obligados a realizar el aporte las personas que devenguen igual o más devengue más de cuatro (4) SMMLV (articulo 25
 ley 100 de 1993)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Abogado</author>
  </authors>
  <commentList>
    <comment ref="B23" authorId="0" shapeId="0" xr:uid="{2D3146D3-311D-4063-97F1-606977B2D5C8}">
      <text>
        <r>
          <rPr>
            <b/>
            <sz val="9"/>
            <color indexed="81"/>
            <rFont val="Tahoma"/>
            <family val="2"/>
          </rPr>
          <t xml:space="preserve">Abogado:
</t>
        </r>
        <r>
          <rPr>
            <sz val="9"/>
            <color indexed="81"/>
            <rFont val="Tahoma"/>
            <family val="2"/>
          </rPr>
          <t>Estan obligados a realizar el aporte las personas que devenguen igual o más devengue más de cuatro (4) SMMLV (articulo 25
 ley 100 de 1993)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Abogado</author>
  </authors>
  <commentList>
    <comment ref="B23" authorId="0" shapeId="0" xr:uid="{63A2BED5-0813-46DA-A35F-6E564EA869EE}">
      <text>
        <r>
          <rPr>
            <b/>
            <sz val="9"/>
            <color indexed="81"/>
            <rFont val="Tahoma"/>
            <family val="2"/>
          </rPr>
          <t xml:space="preserve">Abogado:
</t>
        </r>
        <r>
          <rPr>
            <sz val="9"/>
            <color indexed="81"/>
            <rFont val="Tahoma"/>
            <family val="2"/>
          </rPr>
          <t>Estan obligados a realizar el aporte las personas que devenguen igual o más devengue más de cuatro (4) SMMLV (articulo 25
 ley 100 de 1993)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Abogado</author>
  </authors>
  <commentList>
    <comment ref="B23" authorId="0" shapeId="0" xr:uid="{2302314E-9633-4015-8A3E-45432557D9B0}">
      <text>
        <r>
          <rPr>
            <b/>
            <sz val="9"/>
            <color indexed="81"/>
            <rFont val="Tahoma"/>
            <family val="2"/>
          </rPr>
          <t xml:space="preserve">Abogado:
</t>
        </r>
        <r>
          <rPr>
            <sz val="9"/>
            <color indexed="81"/>
            <rFont val="Tahoma"/>
            <family val="2"/>
          </rPr>
          <t>Estan obligados a realizar el aporte las personas que devenguen igual o más devengue más de cuatro (4) SMMLV (articulo 25
 ley 100 de 1993)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Abogado</author>
  </authors>
  <commentList>
    <comment ref="B23" authorId="0" shapeId="0" xr:uid="{CF4FBE0D-711F-4358-A335-6E8CAAC9696A}">
      <text>
        <r>
          <rPr>
            <b/>
            <sz val="9"/>
            <color indexed="81"/>
            <rFont val="Tahoma"/>
            <family val="2"/>
          </rPr>
          <t xml:space="preserve">Abogado:
</t>
        </r>
        <r>
          <rPr>
            <sz val="9"/>
            <color indexed="81"/>
            <rFont val="Tahoma"/>
            <family val="2"/>
          </rPr>
          <t>Estan obligados a realizar el aporte las personas que devenguen igual o más devengue más de cuatro (4) SMMLV (articulo 25
 ley 100 de 1993)</t>
        </r>
      </text>
    </comment>
  </commentList>
</comments>
</file>

<file path=xl/sharedStrings.xml><?xml version="1.0" encoding="utf-8"?>
<sst xmlns="http://schemas.openxmlformats.org/spreadsheetml/2006/main" count="242" uniqueCount="62">
  <si>
    <t>Fecha de inicio</t>
  </si>
  <si>
    <t>Identificación: XXXXXX</t>
  </si>
  <si>
    <t>Fecha de terminación</t>
  </si>
  <si>
    <t>Salario</t>
  </si>
  <si>
    <t xml:space="preserve">Auxilio de transporte </t>
  </si>
  <si>
    <t xml:space="preserve">Dias trabajados </t>
  </si>
  <si>
    <t>Devengados</t>
  </si>
  <si>
    <t>Valor día</t>
  </si>
  <si>
    <t>Descuentos</t>
  </si>
  <si>
    <t>Total Devengado</t>
  </si>
  <si>
    <t xml:space="preserve">Salario: </t>
  </si>
  <si>
    <t>Auxilio de Transporte</t>
  </si>
  <si>
    <t>Auxilio de Conectividad</t>
  </si>
  <si>
    <t>Auxilio de Comunicion y telefonia</t>
  </si>
  <si>
    <t>Auxilio Extralegal de alimentacion</t>
  </si>
  <si>
    <t>Hora extra</t>
  </si>
  <si>
    <t>Hora extra diurna 25%</t>
  </si>
  <si>
    <t>Hora extra nocturna 75%</t>
  </si>
  <si>
    <t>Recargo nocturno 35%</t>
  </si>
  <si>
    <t>Recargo nomincal o festivo 75%</t>
  </si>
  <si>
    <t>Salud 4%</t>
  </si>
  <si>
    <t>Pension Obligatoria 4%</t>
  </si>
  <si>
    <t>Pensión Voluntaria</t>
  </si>
  <si>
    <t>,</t>
  </si>
  <si>
    <t>Fondo de Solidaridad 1%</t>
  </si>
  <si>
    <t xml:space="preserve">Total </t>
  </si>
  <si>
    <t xml:space="preserve">Fecha de terminación </t>
  </si>
  <si>
    <t>Prima de Servicios</t>
  </si>
  <si>
    <t>Cesantías</t>
  </si>
  <si>
    <t xml:space="preserve">Intereses Cesantias </t>
  </si>
  <si>
    <t xml:space="preserve">Vacaciones </t>
  </si>
  <si>
    <t>Total pago liquidación de prestaciones sociales</t>
  </si>
  <si>
    <t xml:space="preserve">Total a pagar al trabajador </t>
  </si>
  <si>
    <t>Días trabajados</t>
  </si>
  <si>
    <t>Anticipos prima</t>
  </si>
  <si>
    <t>anticipo vacaciones</t>
  </si>
  <si>
    <t>Empleado: DANIEL</t>
  </si>
  <si>
    <t>12/12/2020</t>
  </si>
  <si>
    <t>Empleado: LUISA FERNANDA</t>
  </si>
  <si>
    <t>7/12/2020</t>
  </si>
  <si>
    <t>Empleado: DAVID</t>
  </si>
  <si>
    <t>Indemnización de despido sin justa causa</t>
  </si>
  <si>
    <t>3/12/2020</t>
  </si>
  <si>
    <t>30/12/2020</t>
  </si>
  <si>
    <t>Inmdenización de despdido sin justa causa</t>
  </si>
  <si>
    <t>Anticipo vacaciones individuales</t>
  </si>
  <si>
    <t>Anticipo de vacaciones colectivas</t>
  </si>
  <si>
    <t>Prima de Servicios de junio</t>
  </si>
  <si>
    <t>30 febrero</t>
  </si>
  <si>
    <t>prima de servicios de diciembre</t>
  </si>
  <si>
    <t>promedio a junio</t>
  </si>
  <si>
    <t>Promedio a diciembre</t>
  </si>
  <si>
    <t>total</t>
  </si>
  <si>
    <t>promedio total</t>
  </si>
  <si>
    <t>Empleado: JULIAN</t>
  </si>
  <si>
    <t>Indemnización Despido sin justa causa</t>
  </si>
  <si>
    <t>x</t>
  </si>
  <si>
    <t>Total</t>
  </si>
  <si>
    <t xml:space="preserve"> x </t>
  </si>
  <si>
    <t>Indemnización por los seis (6) meses y 7 días</t>
  </si>
  <si>
    <t>Proporcional a 187 días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</si>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</sst>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3" fillId="0" borderId="6" xfId="0" applyFont="1" applyBorder="1"/>
    <xf numFmtId="14" fontId="3" fillId="0" borderId="4" xfId="0" applyNumberFormat="1" applyFont="1" applyBorder="1"/>
    <xf numFmtId="0" fontId="2" fillId="0" borderId="8" xfId="0" applyFont="1" applyBorder="1"/>
    <xf numFmtId="1" fontId="3" fillId="0" borderId="9" xfId="0" applyNumberFormat="1" applyFont="1" applyBorder="1"/>
    <xf numFmtId="49" fontId="3" fillId="0" borderId="10" xfId="0" applyNumberFormat="1" applyFont="1" applyBorder="1" applyAlignment="1">
      <alignment horizontal="right" wrapText="1"/>
    </xf>
    <xf numFmtId="0" fontId="2" fillId="0" borderId="11" xfId="0" applyFont="1" applyBorder="1"/>
    <xf numFmtId="1" fontId="3" fillId="0" borderId="0" xfId="0" applyNumberFormat="1" applyFont="1"/>
    <xf numFmtId="44" fontId="3" fillId="0" borderId="14" xfId="1" applyFont="1" applyFill="1" applyBorder="1" applyAlignment="1">
      <alignment wrapText="1"/>
    </xf>
    <xf numFmtId="44" fontId="3" fillId="0" borderId="10" xfId="1" applyFont="1" applyBorder="1"/>
    <xf numFmtId="0" fontId="3" fillId="0" borderId="14" xfId="1" applyNumberFormat="1" applyFont="1" applyBorder="1"/>
    <xf numFmtId="0" fontId="3" fillId="0" borderId="11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/>
    <xf numFmtId="44" fontId="3" fillId="0" borderId="17" xfId="1" applyFont="1" applyFill="1" applyBorder="1"/>
    <xf numFmtId="165" fontId="3" fillId="0" borderId="17" xfId="2" applyNumberFormat="1" applyFont="1" applyFill="1" applyBorder="1"/>
    <xf numFmtId="165" fontId="3" fillId="0" borderId="18" xfId="2" applyNumberFormat="1" applyFont="1" applyFill="1" applyBorder="1"/>
    <xf numFmtId="0" fontId="3" fillId="0" borderId="17" xfId="0" applyFont="1" applyBorder="1"/>
    <xf numFmtId="165" fontId="3" fillId="2" borderId="17" xfId="0" applyNumberFormat="1" applyFont="1" applyFill="1" applyBorder="1"/>
    <xf numFmtId="0" fontId="3" fillId="2" borderId="17" xfId="0" applyFont="1" applyFill="1" applyBorder="1"/>
    <xf numFmtId="165" fontId="3" fillId="2" borderId="18" xfId="2" applyNumberFormat="1" applyFont="1" applyFill="1" applyBorder="1"/>
    <xf numFmtId="164" fontId="3" fillId="0" borderId="17" xfId="2" applyFont="1" applyFill="1" applyBorder="1"/>
    <xf numFmtId="164" fontId="3" fillId="0" borderId="17" xfId="0" applyNumberFormat="1" applyFont="1" applyBorder="1"/>
    <xf numFmtId="0" fontId="3" fillId="0" borderId="0" xfId="0" applyFont="1"/>
    <xf numFmtId="44" fontId="3" fillId="0" borderId="0" xfId="1" applyFont="1" applyFill="1" applyBorder="1"/>
    <xf numFmtId="164" fontId="3" fillId="0" borderId="0" xfId="0" applyNumberFormat="1" applyFont="1"/>
    <xf numFmtId="165" fontId="3" fillId="0" borderId="0" xfId="2" applyNumberFormat="1" applyFont="1" applyFill="1" applyBorder="1"/>
    <xf numFmtId="0" fontId="3" fillId="0" borderId="7" xfId="0" applyFont="1" applyBorder="1"/>
    <xf numFmtId="44" fontId="3" fillId="0" borderId="19" xfId="1" applyFont="1" applyFill="1" applyBorder="1"/>
    <xf numFmtId="14" fontId="3" fillId="0" borderId="3" xfId="0" applyNumberFormat="1" applyFont="1" applyBorder="1"/>
    <xf numFmtId="165" fontId="3" fillId="0" borderId="4" xfId="2" applyNumberFormat="1" applyFont="1" applyFill="1" applyBorder="1"/>
    <xf numFmtId="44" fontId="3" fillId="0" borderId="20" xfId="1" applyFont="1" applyFill="1" applyBorder="1"/>
    <xf numFmtId="14" fontId="3" fillId="0" borderId="0" xfId="0" applyNumberFormat="1" applyFont="1"/>
    <xf numFmtId="165" fontId="3" fillId="0" borderId="21" xfId="2" applyNumberFormat="1" applyFont="1" applyFill="1" applyBorder="1"/>
    <xf numFmtId="1" fontId="3" fillId="0" borderId="11" xfId="0" applyNumberFormat="1" applyFont="1" applyBorder="1"/>
    <xf numFmtId="1" fontId="3" fillId="0" borderId="20" xfId="0" applyNumberFormat="1" applyFont="1" applyBorder="1"/>
    <xf numFmtId="44" fontId="3" fillId="0" borderId="0" xfId="1" applyFont="1" applyFill="1" applyBorder="1" applyAlignment="1">
      <alignment horizontal="right" wrapText="1"/>
    </xf>
    <xf numFmtId="44" fontId="3" fillId="0" borderId="0" xfId="1" applyFont="1" applyBorder="1" applyAlignment="1">
      <alignment horizontal="right"/>
    </xf>
    <xf numFmtId="1" fontId="3" fillId="0" borderId="12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3" xfId="0" applyFont="1" applyBorder="1"/>
    <xf numFmtId="44" fontId="3" fillId="0" borderId="24" xfId="1" applyFont="1" applyFill="1" applyBorder="1"/>
    <xf numFmtId="0" fontId="3" fillId="0" borderId="24" xfId="0" applyFont="1" applyBorder="1"/>
    <xf numFmtId="165" fontId="3" fillId="0" borderId="24" xfId="0" applyNumberFormat="1" applyFont="1" applyBorder="1" applyAlignment="1">
      <alignment horizontal="left"/>
    </xf>
    <xf numFmtId="165" fontId="3" fillId="0" borderId="17" xfId="0" applyNumberFormat="1" applyFont="1" applyBorder="1" applyAlignment="1">
      <alignment horizontal="left"/>
    </xf>
    <xf numFmtId="44" fontId="3" fillId="0" borderId="18" xfId="1" applyFont="1" applyFill="1" applyBorder="1"/>
    <xf numFmtId="0" fontId="3" fillId="0" borderId="16" xfId="0" applyFont="1" applyBorder="1" applyAlignment="1">
      <alignment wrapText="1"/>
    </xf>
    <xf numFmtId="44" fontId="3" fillId="0" borderId="18" xfId="0" applyNumberFormat="1" applyFont="1" applyBorder="1"/>
    <xf numFmtId="0" fontId="3" fillId="0" borderId="18" xfId="0" applyFont="1" applyBorder="1"/>
    <xf numFmtId="0" fontId="4" fillId="0" borderId="17" xfId="0" applyFont="1" applyBorder="1"/>
    <xf numFmtId="0" fontId="2" fillId="0" borderId="17" xfId="0" applyFont="1" applyBorder="1"/>
    <xf numFmtId="1" fontId="3" fillId="0" borderId="16" xfId="0" applyNumberFormat="1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0" xfId="1" applyNumberFormat="1" applyFont="1" applyBorder="1" applyAlignment="1">
      <alignment horizontal="right"/>
    </xf>
    <xf numFmtId="44" fontId="3" fillId="0" borderId="17" xfId="1" applyFont="1" applyFill="1" applyBorder="1" applyAlignment="1">
      <alignment horizontal="center"/>
    </xf>
    <xf numFmtId="165" fontId="3" fillId="0" borderId="18" xfId="0" applyNumberFormat="1" applyFont="1" applyBorder="1"/>
    <xf numFmtId="0" fontId="7" fillId="0" borderId="16" xfId="0" applyFont="1" applyBorder="1"/>
    <xf numFmtId="44" fontId="3" fillId="0" borderId="17" xfId="1" applyFont="1" applyBorder="1"/>
    <xf numFmtId="44" fontId="3" fillId="0" borderId="17" xfId="0" applyNumberFormat="1" applyFont="1" applyBorder="1"/>
    <xf numFmtId="0" fontId="2" fillId="0" borderId="16" xfId="0" applyFont="1" applyBorder="1"/>
    <xf numFmtId="14" fontId="0" fillId="0" borderId="0" xfId="0" applyNumberFormat="1"/>
    <xf numFmtId="0" fontId="0" fillId="0" borderId="0" xfId="0" applyNumberFormat="1"/>
    <xf numFmtId="44" fontId="0" fillId="0" borderId="0" xfId="0" applyNumberFormat="1"/>
    <xf numFmtId="16" fontId="0" fillId="0" borderId="17" xfId="0" applyNumberFormat="1" applyBorder="1"/>
    <xf numFmtId="44" fontId="0" fillId="0" borderId="17" xfId="0" applyNumberFormat="1" applyBorder="1"/>
    <xf numFmtId="14" fontId="0" fillId="0" borderId="17" xfId="0" applyNumberFormat="1" applyBorder="1" applyAlignment="1">
      <alignment horizontal="right"/>
    </xf>
    <xf numFmtId="0" fontId="0" fillId="0" borderId="17" xfId="0" applyBorder="1"/>
    <xf numFmtId="14" fontId="3" fillId="0" borderId="0" xfId="0" applyNumberFormat="1" applyFont="1" applyBorder="1"/>
    <xf numFmtId="44" fontId="3" fillId="0" borderId="29" xfId="1" applyFont="1" applyFill="1" applyBorder="1"/>
    <xf numFmtId="0" fontId="3" fillId="0" borderId="28" xfId="0" applyFont="1" applyBorder="1"/>
    <xf numFmtId="44" fontId="3" fillId="0" borderId="22" xfId="1" applyFont="1" applyFill="1" applyBorder="1"/>
    <xf numFmtId="0" fontId="0" fillId="0" borderId="11" xfId="0" applyBorder="1" applyAlignment="1">
      <alignment horizontal="left" wrapText="1"/>
    </xf>
    <xf numFmtId="8" fontId="0" fillId="0" borderId="21" xfId="0" applyNumberFormat="1" applyBorder="1"/>
    <xf numFmtId="0" fontId="0" fillId="0" borderId="11" xfId="0" applyBorder="1"/>
    <xf numFmtId="44" fontId="0" fillId="0" borderId="21" xfId="1" applyFont="1" applyBorder="1"/>
    <xf numFmtId="0" fontId="0" fillId="0" borderId="8" xfId="0" applyBorder="1"/>
    <xf numFmtId="44" fontId="0" fillId="0" borderId="10" xfId="0" applyNumberFormat="1" applyBorder="1"/>
    <xf numFmtId="0" fontId="0" fillId="0" borderId="5" xfId="0" applyBorder="1"/>
    <xf numFmtId="0" fontId="0" fillId="0" borderId="31" xfId="0" applyBorder="1"/>
    <xf numFmtId="0" fontId="0" fillId="0" borderId="21" xfId="0" applyBorder="1"/>
    <xf numFmtId="0" fontId="0" fillId="0" borderId="32" xfId="0" applyBorder="1"/>
    <xf numFmtId="2" fontId="0" fillId="0" borderId="15" xfId="0" applyNumberFormat="1" applyBorder="1"/>
    <xf numFmtId="3" fontId="0" fillId="0" borderId="11" xfId="0" applyNumberFormat="1" applyBorder="1"/>
    <xf numFmtId="6" fontId="0" fillId="0" borderId="10" xfId="0" applyNumberFormat="1" applyBorder="1"/>
    <xf numFmtId="4" fontId="0" fillId="0" borderId="21" xfId="0" applyNumberFormat="1" applyFill="1" applyBorder="1"/>
    <xf numFmtId="44" fontId="3" fillId="0" borderId="18" xfId="1" applyFont="1" applyBorder="1"/>
    <xf numFmtId="44" fontId="3" fillId="2" borderId="17" xfId="1" applyFont="1" applyFill="1" applyBorder="1"/>
    <xf numFmtId="44" fontId="3" fillId="2" borderId="18" xfId="1" applyFont="1" applyFill="1" applyBorder="1"/>
    <xf numFmtId="14" fontId="3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Millares 2" xfId="2" xr:uid="{BFC4ACD5-5B38-4FF7-9CD8-4517889AC87A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2103-B09B-4131-865A-EAD5858393BD}">
  <dimension ref="A1"/>
  <sheetViews>
    <sheetView workbookViewId="0">
      <selection activeCell="B21" sqref="B21"/>
    </sheetView>
  </sheetViews>
  <sheetFormatPr baseColWidth="10" defaultRowHeight="15" x14ac:dyDescent="0.25"/>
  <cols>
    <col min="2" max="2" width="47.28515625" customWidth="1"/>
    <col min="3" max="3" width="14.7109375" customWidth="1"/>
    <col min="4" max="4" width="13.5703125" customWidth="1"/>
    <col min="5" max="5" width="18.140625" customWidth="1"/>
    <col min="6" max="6" width="15" customWidth="1"/>
    <col min="7" max="7" width="21.71093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F55C2-C07E-4AD8-AECF-18558F1D7A48}">
  <dimension ref="B2:G44"/>
  <sheetViews>
    <sheetView topLeftCell="A23" workbookViewId="0">
      <selection activeCell="A43" sqref="A43"/>
    </sheetView>
  </sheetViews>
  <sheetFormatPr baseColWidth="10" defaultRowHeight="15" x14ac:dyDescent="0.25"/>
  <cols>
    <col min="2" max="2" width="47.28515625" customWidth="1"/>
    <col min="3" max="3" width="14.7109375" customWidth="1"/>
    <col min="4" max="4" width="13.5703125" customWidth="1"/>
    <col min="5" max="5" width="18.140625" customWidth="1"/>
    <col min="6" max="6" width="15" customWidth="1"/>
    <col min="7" max="7" width="21.7109375" customWidth="1"/>
  </cols>
  <sheetData>
    <row r="2" spans="2:7" ht="15.75" thickBot="1" x14ac:dyDescent="0.3"/>
    <row r="3" spans="2:7" ht="15.75" thickBot="1" x14ac:dyDescent="0.3">
      <c r="B3" s="105"/>
      <c r="C3" s="106"/>
      <c r="D3" s="106"/>
      <c r="E3" s="107"/>
      <c r="F3" s="107"/>
      <c r="G3" s="108"/>
    </row>
    <row r="4" spans="2:7" x14ac:dyDescent="0.25">
      <c r="B4" s="1" t="s">
        <v>36</v>
      </c>
      <c r="C4" s="2"/>
      <c r="D4" s="3"/>
      <c r="E4" s="109" t="s">
        <v>0</v>
      </c>
      <c r="F4" s="107"/>
      <c r="G4" s="4">
        <v>44166</v>
      </c>
    </row>
    <row r="5" spans="2:7" ht="15.75" thickBot="1" x14ac:dyDescent="0.3">
      <c r="B5" s="5" t="s">
        <v>1</v>
      </c>
      <c r="C5" s="6"/>
      <c r="D5" s="6"/>
      <c r="E5" s="110" t="s">
        <v>2</v>
      </c>
      <c r="F5" s="111"/>
      <c r="G5" s="7" t="s">
        <v>37</v>
      </c>
    </row>
    <row r="6" spans="2:7" ht="15.75" thickBot="1" x14ac:dyDescent="0.3">
      <c r="B6" s="8"/>
      <c r="C6" s="9"/>
      <c r="D6" s="9"/>
      <c r="E6" s="103" t="s">
        <v>3</v>
      </c>
      <c r="F6" s="104"/>
      <c r="G6" s="10">
        <v>3000000</v>
      </c>
    </row>
    <row r="7" spans="2:7" ht="15.75" thickBot="1" x14ac:dyDescent="0.3">
      <c r="B7" s="8"/>
      <c r="C7" s="9"/>
      <c r="D7" s="9"/>
      <c r="E7" s="103" t="s">
        <v>4</v>
      </c>
      <c r="F7" s="104"/>
      <c r="G7" s="11">
        <v>0</v>
      </c>
    </row>
    <row r="8" spans="2:7" ht="15.75" thickBot="1" x14ac:dyDescent="0.3">
      <c r="B8" s="8"/>
      <c r="C8" s="9"/>
      <c r="D8" s="9"/>
      <c r="E8" s="103" t="s">
        <v>5</v>
      </c>
      <c r="F8" s="104"/>
      <c r="G8" s="12">
        <f>DAYS360(G4,G5)+1</f>
        <v>12</v>
      </c>
    </row>
    <row r="9" spans="2:7" x14ac:dyDescent="0.25">
      <c r="B9" s="13"/>
      <c r="C9" s="14" t="s">
        <v>6</v>
      </c>
      <c r="D9" s="14" t="s">
        <v>7</v>
      </c>
      <c r="E9" s="14" t="s">
        <v>8</v>
      </c>
      <c r="F9" s="14"/>
      <c r="G9" s="15" t="s">
        <v>9</v>
      </c>
    </row>
    <row r="10" spans="2:7" x14ac:dyDescent="0.25">
      <c r="B10" s="16" t="s">
        <v>10</v>
      </c>
      <c r="C10" s="17">
        <f>D10*G8</f>
        <v>1200000</v>
      </c>
      <c r="D10" s="18">
        <f>(G6/30)</f>
        <v>100000</v>
      </c>
      <c r="E10" s="18"/>
      <c r="F10" s="18"/>
      <c r="G10" s="19">
        <f>C10</f>
        <v>1200000</v>
      </c>
    </row>
    <row r="11" spans="2:7" x14ac:dyDescent="0.25">
      <c r="B11" s="16" t="s">
        <v>11</v>
      </c>
      <c r="C11" s="17">
        <v>0</v>
      </c>
      <c r="D11" s="18"/>
      <c r="E11" s="18"/>
      <c r="F11" s="18"/>
      <c r="G11" s="19">
        <f>+C11</f>
        <v>0</v>
      </c>
    </row>
    <row r="12" spans="2:7" x14ac:dyDescent="0.25">
      <c r="B12" s="16" t="s">
        <v>12</v>
      </c>
      <c r="C12" s="17"/>
      <c r="D12" s="18"/>
      <c r="E12" s="18"/>
      <c r="F12" s="18"/>
      <c r="G12" s="19">
        <f>+C12</f>
        <v>0</v>
      </c>
    </row>
    <row r="13" spans="2:7" x14ac:dyDescent="0.25">
      <c r="B13" s="16" t="s">
        <v>13</v>
      </c>
      <c r="C13" s="17"/>
      <c r="D13" s="18"/>
      <c r="E13" s="18"/>
      <c r="F13" s="18"/>
      <c r="G13" s="19">
        <v>0</v>
      </c>
    </row>
    <row r="14" spans="2:7" x14ac:dyDescent="0.25">
      <c r="B14" s="16" t="s">
        <v>14</v>
      </c>
      <c r="C14" s="17">
        <v>0</v>
      </c>
      <c r="D14" s="18"/>
      <c r="E14" s="18"/>
      <c r="F14" s="18"/>
      <c r="G14" s="19">
        <v>0</v>
      </c>
    </row>
    <row r="15" spans="2:7" x14ac:dyDescent="0.25">
      <c r="B15" s="16" t="s">
        <v>15</v>
      </c>
      <c r="C15" s="17">
        <f>D15</f>
        <v>0</v>
      </c>
      <c r="D15" s="18">
        <v>0</v>
      </c>
      <c r="E15" s="18"/>
      <c r="F15" s="18"/>
      <c r="G15" s="19">
        <f>C15+D15</f>
        <v>0</v>
      </c>
    </row>
    <row r="16" spans="2:7" x14ac:dyDescent="0.25">
      <c r="B16" s="16" t="s">
        <v>16</v>
      </c>
      <c r="C16" s="17">
        <f>(D15*25%)</f>
        <v>0</v>
      </c>
      <c r="D16" s="18"/>
      <c r="E16" s="18"/>
      <c r="F16" s="18"/>
      <c r="G16" s="19">
        <f>C16+D16</f>
        <v>0</v>
      </c>
    </row>
    <row r="17" spans="2:7" x14ac:dyDescent="0.25">
      <c r="B17" s="16" t="s">
        <v>17</v>
      </c>
      <c r="C17" s="17">
        <f>(D15*75%)</f>
        <v>0</v>
      </c>
      <c r="D17" s="18"/>
      <c r="E17" s="18"/>
      <c r="F17" s="18"/>
      <c r="G17" s="19">
        <f>C17+D17</f>
        <v>0</v>
      </c>
    </row>
    <row r="18" spans="2:7" x14ac:dyDescent="0.25">
      <c r="B18" s="16" t="s">
        <v>18</v>
      </c>
      <c r="C18" s="17">
        <f>D15*35%</f>
        <v>0</v>
      </c>
      <c r="D18" s="18"/>
      <c r="E18" s="18"/>
      <c r="F18" s="18"/>
      <c r="G18" s="19">
        <f>C18</f>
        <v>0</v>
      </c>
    </row>
    <row r="19" spans="2:7" x14ac:dyDescent="0.25">
      <c r="B19" s="16" t="s">
        <v>19</v>
      </c>
      <c r="C19" s="17">
        <f>(D15*75%)</f>
        <v>0</v>
      </c>
      <c r="D19" s="18"/>
      <c r="E19" s="18"/>
      <c r="F19" s="18"/>
      <c r="G19" s="19">
        <f>C19+D19</f>
        <v>0</v>
      </c>
    </row>
    <row r="20" spans="2:7" x14ac:dyDescent="0.25">
      <c r="B20" s="16" t="s">
        <v>20</v>
      </c>
      <c r="C20" s="17"/>
      <c r="D20" s="20"/>
      <c r="E20" s="21">
        <f>+G10*0.04</f>
        <v>48000</v>
      </c>
      <c r="F20" s="22"/>
      <c r="G20" s="23">
        <f>+E20</f>
        <v>48000</v>
      </c>
    </row>
    <row r="21" spans="2:7" x14ac:dyDescent="0.25">
      <c r="B21" s="16" t="s">
        <v>21</v>
      </c>
      <c r="C21" s="17"/>
      <c r="D21" s="20"/>
      <c r="E21" s="21">
        <f>+G10*0.04</f>
        <v>48000</v>
      </c>
      <c r="F21" s="22"/>
      <c r="G21" s="23">
        <f>+E21</f>
        <v>48000</v>
      </c>
    </row>
    <row r="22" spans="2:7" x14ac:dyDescent="0.25">
      <c r="B22" s="16" t="s">
        <v>22</v>
      </c>
      <c r="C22" s="17"/>
      <c r="D22" s="20"/>
      <c r="E22" s="24" t="s">
        <v>23</v>
      </c>
      <c r="F22" s="20"/>
      <c r="G22" s="19"/>
    </row>
    <row r="23" spans="2:7" x14ac:dyDescent="0.25">
      <c r="B23" s="20" t="s">
        <v>24</v>
      </c>
      <c r="C23" s="17"/>
      <c r="D23" s="20"/>
      <c r="E23" s="25">
        <v>0</v>
      </c>
      <c r="F23" s="20"/>
      <c r="G23" s="18"/>
    </row>
    <row r="24" spans="2:7" x14ac:dyDescent="0.25">
      <c r="B24" s="20" t="s">
        <v>25</v>
      </c>
      <c r="C24" s="17"/>
      <c r="D24" s="20"/>
      <c r="E24" s="25"/>
      <c r="F24" s="20"/>
      <c r="G24" s="18">
        <f>G10+G11+G12-G20-G21</f>
        <v>1104000</v>
      </c>
    </row>
    <row r="25" spans="2:7" ht="15.75" thickBot="1" x14ac:dyDescent="0.3">
      <c r="B25" s="26"/>
      <c r="C25" s="27"/>
      <c r="D25" s="26"/>
      <c r="E25" s="28"/>
      <c r="F25" s="26"/>
      <c r="G25" s="29"/>
    </row>
    <row r="26" spans="2:7" x14ac:dyDescent="0.25">
      <c r="B26" s="30"/>
      <c r="C26" s="31"/>
      <c r="D26" s="100" t="s">
        <v>0</v>
      </c>
      <c r="E26" s="100"/>
      <c r="F26" s="32">
        <v>43984</v>
      </c>
      <c r="G26" s="33"/>
    </row>
    <row r="27" spans="2:7" x14ac:dyDescent="0.25">
      <c r="B27" s="13"/>
      <c r="C27" s="34"/>
      <c r="D27" s="101" t="s">
        <v>26</v>
      </c>
      <c r="E27" s="101"/>
      <c r="F27" s="35">
        <v>44177</v>
      </c>
      <c r="G27" s="36"/>
    </row>
    <row r="28" spans="2:7" x14ac:dyDescent="0.25">
      <c r="B28" s="37"/>
      <c r="C28" s="38"/>
      <c r="D28" s="102" t="s">
        <v>3</v>
      </c>
      <c r="E28" s="102"/>
      <c r="F28" s="39">
        <v>3000000</v>
      </c>
      <c r="G28" s="36"/>
    </row>
    <row r="29" spans="2:7" x14ac:dyDescent="0.25">
      <c r="B29" s="13"/>
      <c r="C29" s="38"/>
      <c r="D29" s="102" t="s">
        <v>4</v>
      </c>
      <c r="E29" s="102"/>
      <c r="F29" s="40">
        <v>0</v>
      </c>
      <c r="G29" s="36"/>
    </row>
    <row r="30" spans="2:7" ht="15.75" thickBot="1" x14ac:dyDescent="0.3">
      <c r="B30" s="13"/>
      <c r="C30" s="38"/>
      <c r="D30" s="96" t="s">
        <v>33</v>
      </c>
      <c r="E30" s="97"/>
      <c r="F30" s="61">
        <f>DAYS360(F26,F27)+1</f>
        <v>191</v>
      </c>
      <c r="G30" s="36"/>
    </row>
    <row r="31" spans="2:7" ht="15.75" thickBot="1" x14ac:dyDescent="0.3">
      <c r="B31" s="41"/>
      <c r="C31" s="42" t="s">
        <v>6</v>
      </c>
      <c r="D31" s="43" t="s">
        <v>7</v>
      </c>
      <c r="E31" s="44" t="s">
        <v>8</v>
      </c>
      <c r="F31" s="44"/>
      <c r="G31" s="45" t="s">
        <v>9</v>
      </c>
    </row>
    <row r="32" spans="2:7" x14ac:dyDescent="0.25">
      <c r="B32" s="46" t="s">
        <v>27</v>
      </c>
      <c r="C32" s="47">
        <f>(F28+F29)*F30/360</f>
        <v>1591666.6666666667</v>
      </c>
      <c r="D32" s="48"/>
      <c r="E32" s="49"/>
      <c r="F32" s="48"/>
      <c r="G32" s="47">
        <f>C32</f>
        <v>1591666.6666666667</v>
      </c>
    </row>
    <row r="33" spans="2:7" x14ac:dyDescent="0.25">
      <c r="B33" s="16" t="s">
        <v>28</v>
      </c>
      <c r="C33" s="17">
        <f>(F28*F30)/360</f>
        <v>1591666.6666666667</v>
      </c>
      <c r="D33" s="20"/>
      <c r="E33" s="50"/>
      <c r="F33" s="20"/>
      <c r="G33" s="51">
        <f>C33</f>
        <v>1591666.6666666667</v>
      </c>
    </row>
    <row r="34" spans="2:7" x14ac:dyDescent="0.25">
      <c r="B34" s="52" t="s">
        <v>29</v>
      </c>
      <c r="C34" s="17">
        <f>C33*F30*0.12/360</f>
        <v>101336.11111111111</v>
      </c>
      <c r="D34" s="20"/>
      <c r="E34" s="50"/>
      <c r="F34" s="20"/>
      <c r="G34" s="53">
        <f>C34</f>
        <v>101336.11111111111</v>
      </c>
    </row>
    <row r="35" spans="2:7" x14ac:dyDescent="0.25">
      <c r="B35" s="52" t="s">
        <v>30</v>
      </c>
      <c r="C35" s="17">
        <f>F28*F30/720</f>
        <v>795833.33333333337</v>
      </c>
      <c r="D35" s="20"/>
      <c r="E35" s="50"/>
      <c r="F35" s="20"/>
      <c r="G35" s="53">
        <f>C35</f>
        <v>795833.33333333337</v>
      </c>
    </row>
    <row r="36" spans="2:7" x14ac:dyDescent="0.25">
      <c r="B36" s="16" t="s">
        <v>34</v>
      </c>
      <c r="C36" s="62">
        <f>(F28+F29)*180/360</f>
        <v>1500000</v>
      </c>
      <c r="D36" s="20"/>
      <c r="E36" s="17">
        <f>C36</f>
        <v>1500000</v>
      </c>
      <c r="F36" s="20"/>
      <c r="G36" s="63">
        <f>E36</f>
        <v>1500000</v>
      </c>
    </row>
    <row r="37" spans="2:7" x14ac:dyDescent="0.25">
      <c r="B37" s="64" t="s">
        <v>35</v>
      </c>
      <c r="C37" s="65">
        <f>F28*F30/720</f>
        <v>795833.33333333337</v>
      </c>
      <c r="D37" s="55"/>
      <c r="E37" s="66">
        <f>C37</f>
        <v>795833.33333333337</v>
      </c>
      <c r="F37" s="55"/>
      <c r="G37" s="53">
        <f>E37</f>
        <v>795833.33333333337</v>
      </c>
    </row>
    <row r="38" spans="2:7" x14ac:dyDescent="0.25">
      <c r="B38" s="16"/>
      <c r="C38" s="20"/>
      <c r="D38" s="20"/>
      <c r="E38" s="20"/>
      <c r="F38" s="20"/>
      <c r="G38" s="54"/>
    </row>
    <row r="39" spans="2:7" x14ac:dyDescent="0.25">
      <c r="B39" s="16" t="s">
        <v>31</v>
      </c>
      <c r="C39" s="20"/>
      <c r="D39" s="20"/>
      <c r="E39" s="20"/>
      <c r="F39" s="20"/>
      <c r="G39" s="53"/>
    </row>
    <row r="40" spans="2:7" x14ac:dyDescent="0.25">
      <c r="B40" s="16"/>
      <c r="C40" s="20"/>
      <c r="D40" s="20"/>
      <c r="E40" s="20"/>
      <c r="F40" s="20"/>
      <c r="G40" s="54"/>
    </row>
    <row r="41" spans="2:7" x14ac:dyDescent="0.25">
      <c r="B41" s="16"/>
      <c r="C41" s="20"/>
      <c r="D41" s="20"/>
      <c r="E41" s="20"/>
      <c r="F41" s="20"/>
      <c r="G41" s="54"/>
    </row>
    <row r="42" spans="2:7" x14ac:dyDescent="0.25">
      <c r="B42" s="98" t="s">
        <v>32</v>
      </c>
      <c r="C42" s="99"/>
      <c r="D42" s="56"/>
      <c r="E42" s="56"/>
      <c r="F42" s="20"/>
      <c r="G42" s="53">
        <f>G32+G33+G34+G35-G36-G37</f>
        <v>1784669.4444444445</v>
      </c>
    </row>
    <row r="43" spans="2:7" x14ac:dyDescent="0.25">
      <c r="B43" s="57"/>
      <c r="C43" s="56"/>
      <c r="D43" s="56"/>
      <c r="E43" s="56"/>
      <c r="F43" s="20"/>
      <c r="G43" s="54"/>
    </row>
    <row r="44" spans="2:7" ht="15.75" thickBot="1" x14ac:dyDescent="0.3">
      <c r="B44" s="58"/>
      <c r="C44" s="59"/>
      <c r="D44" s="59"/>
      <c r="E44" s="59"/>
      <c r="F44" s="59"/>
      <c r="G44" s="60"/>
    </row>
  </sheetData>
  <mergeCells count="12">
    <mergeCell ref="E8:F8"/>
    <mergeCell ref="B3:G3"/>
    <mergeCell ref="E4:F4"/>
    <mergeCell ref="E5:F5"/>
    <mergeCell ref="E6:F6"/>
    <mergeCell ref="E7:F7"/>
    <mergeCell ref="D30:E30"/>
    <mergeCell ref="B42:C42"/>
    <mergeCell ref="D26:E26"/>
    <mergeCell ref="D27:E27"/>
    <mergeCell ref="D28:E28"/>
    <mergeCell ref="D29:E2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F0F1-12FA-4041-AE24-FE092D61F01D}">
  <dimension ref="B2:L47"/>
  <sheetViews>
    <sheetView topLeftCell="C16" workbookViewId="0">
      <selection activeCell="A48" sqref="A48"/>
    </sheetView>
  </sheetViews>
  <sheetFormatPr baseColWidth="10" defaultRowHeight="15" x14ac:dyDescent="0.25"/>
  <cols>
    <col min="2" max="2" width="47.28515625" customWidth="1"/>
    <col min="3" max="3" width="14.7109375" customWidth="1"/>
    <col min="4" max="4" width="13.5703125" customWidth="1"/>
    <col min="5" max="5" width="18.140625" customWidth="1"/>
    <col min="6" max="6" width="15" customWidth="1"/>
    <col min="7" max="7" width="21.7109375" customWidth="1"/>
    <col min="9" max="10" width="14.5703125" bestFit="1" customWidth="1"/>
    <col min="11" max="11" width="20.42578125" customWidth="1"/>
    <col min="12" max="12" width="15.5703125" bestFit="1" customWidth="1"/>
  </cols>
  <sheetData>
    <row r="2" spans="2:7" ht="15.75" thickBot="1" x14ac:dyDescent="0.3"/>
    <row r="3" spans="2:7" ht="15.75" thickBot="1" x14ac:dyDescent="0.3">
      <c r="B3" s="105"/>
      <c r="C3" s="106"/>
      <c r="D3" s="106"/>
      <c r="E3" s="107"/>
      <c r="F3" s="107"/>
      <c r="G3" s="108"/>
    </row>
    <row r="4" spans="2:7" x14ac:dyDescent="0.25">
      <c r="B4" s="1" t="s">
        <v>38</v>
      </c>
      <c r="C4" s="2"/>
      <c r="D4" s="3"/>
      <c r="E4" s="109" t="s">
        <v>0</v>
      </c>
      <c r="F4" s="107"/>
      <c r="G4" s="4">
        <v>44166</v>
      </c>
    </row>
    <row r="5" spans="2:7" ht="15.75" thickBot="1" x14ac:dyDescent="0.3">
      <c r="B5" s="5" t="s">
        <v>1</v>
      </c>
      <c r="C5" s="6"/>
      <c r="D5" s="6"/>
      <c r="E5" s="110" t="s">
        <v>2</v>
      </c>
      <c r="F5" s="111"/>
      <c r="G5" s="7" t="s">
        <v>39</v>
      </c>
    </row>
    <row r="6" spans="2:7" ht="15.75" thickBot="1" x14ac:dyDescent="0.3">
      <c r="B6" s="8"/>
      <c r="C6" s="9"/>
      <c r="D6" s="9"/>
      <c r="E6" s="103" t="s">
        <v>3</v>
      </c>
      <c r="F6" s="104"/>
      <c r="G6" s="10">
        <v>1650000</v>
      </c>
    </row>
    <row r="7" spans="2:7" ht="15.75" thickBot="1" x14ac:dyDescent="0.3">
      <c r="B7" s="8"/>
      <c r="C7" s="9"/>
      <c r="D7" s="9"/>
      <c r="E7" s="103" t="s">
        <v>4</v>
      </c>
      <c r="F7" s="104"/>
      <c r="G7" s="11">
        <v>102854</v>
      </c>
    </row>
    <row r="8" spans="2:7" ht="15.75" thickBot="1" x14ac:dyDescent="0.3">
      <c r="B8" s="8"/>
      <c r="C8" s="9"/>
      <c r="D8" s="9"/>
      <c r="E8" s="103" t="s">
        <v>5</v>
      </c>
      <c r="F8" s="104"/>
      <c r="G8" s="12">
        <f>DAYS360(G4,G5)+1</f>
        <v>7</v>
      </c>
    </row>
    <row r="9" spans="2:7" x14ac:dyDescent="0.25">
      <c r="B9" s="13"/>
      <c r="C9" s="14" t="s">
        <v>6</v>
      </c>
      <c r="D9" s="14" t="s">
        <v>7</v>
      </c>
      <c r="E9" s="14" t="s">
        <v>8</v>
      </c>
      <c r="F9" s="14"/>
      <c r="G9" s="15" t="s">
        <v>9</v>
      </c>
    </row>
    <row r="10" spans="2:7" x14ac:dyDescent="0.25">
      <c r="B10" s="16" t="s">
        <v>10</v>
      </c>
      <c r="C10" s="17">
        <f>D10*G8</f>
        <v>385000</v>
      </c>
      <c r="D10" s="18">
        <f>(G6/30)</f>
        <v>55000</v>
      </c>
      <c r="E10" s="18"/>
      <c r="F10" s="18"/>
      <c r="G10" s="19">
        <f>C10</f>
        <v>385000</v>
      </c>
    </row>
    <row r="11" spans="2:7" x14ac:dyDescent="0.25">
      <c r="B11" s="16" t="s">
        <v>11</v>
      </c>
      <c r="C11" s="17"/>
      <c r="D11" s="18"/>
      <c r="E11" s="18"/>
      <c r="F11" s="18"/>
      <c r="G11" s="19">
        <f>+C11</f>
        <v>0</v>
      </c>
    </row>
    <row r="12" spans="2:7" x14ac:dyDescent="0.25">
      <c r="B12" s="16" t="s">
        <v>12</v>
      </c>
      <c r="C12" s="17">
        <f xml:space="preserve"> D12*G8</f>
        <v>23999.266666666666</v>
      </c>
      <c r="D12" s="18">
        <f>G7/30</f>
        <v>3428.4666666666667</v>
      </c>
      <c r="E12" s="18"/>
      <c r="F12" s="18"/>
      <c r="G12" s="19">
        <f>+C12</f>
        <v>23999.266666666666</v>
      </c>
    </row>
    <row r="13" spans="2:7" x14ac:dyDescent="0.25">
      <c r="B13" s="16" t="s">
        <v>13</v>
      </c>
      <c r="C13" s="17"/>
      <c r="D13" s="18"/>
      <c r="E13" s="18"/>
      <c r="F13" s="18"/>
      <c r="G13" s="19">
        <v>0</v>
      </c>
    </row>
    <row r="14" spans="2:7" x14ac:dyDescent="0.25">
      <c r="B14" s="16" t="s">
        <v>14</v>
      </c>
      <c r="C14" s="17">
        <v>0</v>
      </c>
      <c r="D14" s="18"/>
      <c r="E14" s="18"/>
      <c r="F14" s="18"/>
      <c r="G14" s="19">
        <v>0</v>
      </c>
    </row>
    <row r="15" spans="2:7" x14ac:dyDescent="0.25">
      <c r="B15" s="16" t="s">
        <v>15</v>
      </c>
      <c r="C15" s="17">
        <f>D15</f>
        <v>0</v>
      </c>
      <c r="D15" s="18">
        <v>0</v>
      </c>
      <c r="E15" s="18"/>
      <c r="F15" s="18"/>
      <c r="G15" s="19">
        <f>C15+D15</f>
        <v>0</v>
      </c>
    </row>
    <row r="16" spans="2:7" x14ac:dyDescent="0.25">
      <c r="B16" s="16" t="s">
        <v>16</v>
      </c>
      <c r="C16" s="17">
        <f>(D15*25%)</f>
        <v>0</v>
      </c>
      <c r="D16" s="18"/>
      <c r="E16" s="18"/>
      <c r="F16" s="18"/>
      <c r="G16" s="19">
        <f>C16+D16</f>
        <v>0</v>
      </c>
    </row>
    <row r="17" spans="2:12" x14ac:dyDescent="0.25">
      <c r="B17" s="16" t="s">
        <v>17</v>
      </c>
      <c r="C17" s="17">
        <f>(D15*75%)</f>
        <v>0</v>
      </c>
      <c r="D17" s="18"/>
      <c r="E17" s="18"/>
      <c r="F17" s="18"/>
      <c r="G17" s="19">
        <f>C17+D17</f>
        <v>0</v>
      </c>
    </row>
    <row r="18" spans="2:12" x14ac:dyDescent="0.25">
      <c r="B18" s="16" t="s">
        <v>18</v>
      </c>
      <c r="C18" s="17">
        <f>D15*35%</f>
        <v>0</v>
      </c>
      <c r="D18" s="18"/>
      <c r="E18" s="18"/>
      <c r="F18" s="18"/>
      <c r="G18" s="19">
        <f>C18</f>
        <v>0</v>
      </c>
    </row>
    <row r="19" spans="2:12" x14ac:dyDescent="0.25">
      <c r="B19" s="16" t="s">
        <v>19</v>
      </c>
      <c r="C19" s="17">
        <f>(D15*75%)</f>
        <v>0</v>
      </c>
      <c r="D19" s="18"/>
      <c r="E19" s="18"/>
      <c r="F19" s="18"/>
      <c r="G19" s="19">
        <f>C19+D19</f>
        <v>0</v>
      </c>
    </row>
    <row r="20" spans="2:12" x14ac:dyDescent="0.25">
      <c r="B20" s="16" t="s">
        <v>20</v>
      </c>
      <c r="C20" s="17"/>
      <c r="D20" s="20"/>
      <c r="E20" s="21">
        <f>+G10*0.04</f>
        <v>15400</v>
      </c>
      <c r="F20" s="22"/>
      <c r="G20" s="23">
        <f>+E20</f>
        <v>15400</v>
      </c>
    </row>
    <row r="21" spans="2:12" x14ac:dyDescent="0.25">
      <c r="B21" s="16" t="s">
        <v>21</v>
      </c>
      <c r="C21" s="17"/>
      <c r="D21" s="20"/>
      <c r="E21" s="21">
        <f>+G10*0.04</f>
        <v>15400</v>
      </c>
      <c r="F21" s="22"/>
      <c r="G21" s="23">
        <f>+E21</f>
        <v>15400</v>
      </c>
    </row>
    <row r="22" spans="2:12" x14ac:dyDescent="0.25">
      <c r="B22" s="16" t="s">
        <v>22</v>
      </c>
      <c r="C22" s="17"/>
      <c r="D22" s="20"/>
      <c r="E22" s="24" t="s">
        <v>23</v>
      </c>
      <c r="F22" s="20"/>
      <c r="G22" s="19"/>
    </row>
    <row r="23" spans="2:12" x14ac:dyDescent="0.25">
      <c r="B23" s="20" t="s">
        <v>24</v>
      </c>
      <c r="C23" s="17"/>
      <c r="D23" s="20"/>
      <c r="E23" s="25">
        <v>0</v>
      </c>
      <c r="F23" s="20"/>
      <c r="G23" s="18"/>
    </row>
    <row r="24" spans="2:12" x14ac:dyDescent="0.25">
      <c r="B24" s="20" t="s">
        <v>25</v>
      </c>
      <c r="C24" s="17"/>
      <c r="D24" s="20"/>
      <c r="E24" s="25"/>
      <c r="F24" s="20"/>
      <c r="G24" s="18">
        <f>G10+G11+G12-G20-G21</f>
        <v>378199.26666666666</v>
      </c>
    </row>
    <row r="25" spans="2:12" ht="15.75" thickBot="1" x14ac:dyDescent="0.3">
      <c r="B25" s="26"/>
      <c r="C25" s="27"/>
      <c r="D25" s="26"/>
      <c r="E25" s="28"/>
      <c r="F25" s="26"/>
      <c r="G25" s="29"/>
    </row>
    <row r="26" spans="2:12" x14ac:dyDescent="0.25">
      <c r="B26" s="30"/>
      <c r="C26" s="31"/>
      <c r="D26" s="100" t="s">
        <v>0</v>
      </c>
      <c r="E26" s="100"/>
      <c r="F26" s="32">
        <v>43845</v>
      </c>
      <c r="G26" s="33"/>
    </row>
    <row r="27" spans="2:12" x14ac:dyDescent="0.25">
      <c r="B27" s="13"/>
      <c r="C27" s="34"/>
      <c r="D27" s="112" t="s">
        <v>26</v>
      </c>
      <c r="E27" s="112"/>
      <c r="F27" s="75">
        <v>44172</v>
      </c>
      <c r="G27" s="36"/>
    </row>
    <row r="28" spans="2:12" x14ac:dyDescent="0.25">
      <c r="B28" s="37"/>
      <c r="C28" s="38"/>
      <c r="D28" s="113" t="s">
        <v>3</v>
      </c>
      <c r="E28" s="113"/>
      <c r="F28" s="39">
        <v>1650000</v>
      </c>
      <c r="G28" s="36"/>
      <c r="I28" s="68"/>
    </row>
    <row r="29" spans="2:12" x14ac:dyDescent="0.25">
      <c r="B29" s="13"/>
      <c r="C29" s="38"/>
      <c r="D29" s="113" t="s">
        <v>4</v>
      </c>
      <c r="E29" s="113"/>
      <c r="F29" s="40">
        <v>102854</v>
      </c>
      <c r="G29" s="36"/>
      <c r="I29" s="68"/>
    </row>
    <row r="30" spans="2:12" ht="15.75" thickBot="1" x14ac:dyDescent="0.3">
      <c r="B30" s="13"/>
      <c r="C30" s="38"/>
      <c r="D30" s="96" t="s">
        <v>33</v>
      </c>
      <c r="E30" s="97"/>
      <c r="F30" s="61">
        <f>DAYS360(F26,F27)+1</f>
        <v>323</v>
      </c>
      <c r="G30" s="36"/>
      <c r="I30" s="69"/>
    </row>
    <row r="31" spans="2:12" ht="15.75" thickBot="1" x14ac:dyDescent="0.3">
      <c r="B31" s="41"/>
      <c r="C31" s="42" t="s">
        <v>6</v>
      </c>
      <c r="D31" s="43" t="s">
        <v>7</v>
      </c>
      <c r="E31" s="44" t="s">
        <v>8</v>
      </c>
      <c r="F31" s="44"/>
      <c r="G31" s="45" t="s">
        <v>9</v>
      </c>
      <c r="I31" s="68"/>
    </row>
    <row r="32" spans="2:12" x14ac:dyDescent="0.25">
      <c r="B32" s="46" t="s">
        <v>47</v>
      </c>
      <c r="C32" s="47">
        <f>L46*166/360</f>
        <v>727731.21697530861</v>
      </c>
      <c r="D32" s="48"/>
      <c r="E32" s="49"/>
      <c r="F32" s="48"/>
      <c r="G32" s="76">
        <f>C32</f>
        <v>727731.21697530861</v>
      </c>
      <c r="I32" s="69"/>
      <c r="K32" s="71">
        <v>43860</v>
      </c>
      <c r="L32" s="72">
        <f>(F28+F29)/30*15</f>
        <v>876427</v>
      </c>
    </row>
    <row r="33" spans="2:12" x14ac:dyDescent="0.25">
      <c r="B33" s="46" t="s">
        <v>49</v>
      </c>
      <c r="C33" s="47">
        <f>L47*157/360</f>
        <v>753163.88888888888</v>
      </c>
      <c r="D33" s="48"/>
      <c r="E33" s="49"/>
      <c r="F33" s="48"/>
      <c r="G33" s="76">
        <f>C33</f>
        <v>753163.88888888888</v>
      </c>
      <c r="I33" s="69"/>
      <c r="K33" s="73" t="s">
        <v>48</v>
      </c>
      <c r="L33" s="72">
        <f>(F28+F29)/30*30</f>
        <v>1752854</v>
      </c>
    </row>
    <row r="34" spans="2:12" x14ac:dyDescent="0.25">
      <c r="B34" s="16" t="s">
        <v>28</v>
      </c>
      <c r="C34" s="17">
        <f>L45*F30/360</f>
        <v>1476686.9682659931</v>
      </c>
      <c r="D34" s="20"/>
      <c r="E34" s="50"/>
      <c r="F34" s="20"/>
      <c r="G34" s="51">
        <f>C34</f>
        <v>1476686.9682659931</v>
      </c>
      <c r="K34" s="71">
        <v>43920</v>
      </c>
      <c r="L34" s="72">
        <f>(F28+F29)/30*30</f>
        <v>1752854</v>
      </c>
    </row>
    <row r="35" spans="2:12" x14ac:dyDescent="0.25">
      <c r="B35" s="52" t="s">
        <v>29</v>
      </c>
      <c r="C35" s="17">
        <f>C34*F30*0.12/360</f>
        <v>158989.96358330525</v>
      </c>
      <c r="D35" s="20"/>
      <c r="E35" s="50"/>
      <c r="F35" s="20"/>
      <c r="G35" s="53">
        <f>C35</f>
        <v>158989.96358330525</v>
      </c>
      <c r="I35" s="70"/>
      <c r="K35" s="71">
        <v>43951</v>
      </c>
      <c r="L35" s="72">
        <f>(F28+F29)/30*30</f>
        <v>1752854</v>
      </c>
    </row>
    <row r="36" spans="2:12" x14ac:dyDescent="0.25">
      <c r="B36" s="52" t="s">
        <v>30</v>
      </c>
      <c r="C36" s="17">
        <f>F28*F30/720</f>
        <v>740208.33333333337</v>
      </c>
      <c r="D36" s="20"/>
      <c r="E36" s="50"/>
      <c r="F36" s="20"/>
      <c r="G36" s="53">
        <f>C36</f>
        <v>740208.33333333337</v>
      </c>
      <c r="K36" s="71">
        <v>43981</v>
      </c>
      <c r="L36" s="72">
        <f>((F28+F29)/30*10)+(F28/30*20)</f>
        <v>1684284.6666666665</v>
      </c>
    </row>
    <row r="37" spans="2:12" x14ac:dyDescent="0.25">
      <c r="B37" s="16" t="s">
        <v>34</v>
      </c>
      <c r="C37" s="62">
        <f>((L46*166/360)/3)*2</f>
        <v>485154.14465020574</v>
      </c>
      <c r="D37" s="20"/>
      <c r="E37" s="17">
        <f>C37</f>
        <v>485154.14465020574</v>
      </c>
      <c r="F37" s="20"/>
      <c r="G37" s="63">
        <f>E37</f>
        <v>485154.14465020574</v>
      </c>
      <c r="I37" s="70"/>
      <c r="K37" s="71">
        <v>44012</v>
      </c>
      <c r="L37" s="72">
        <f>F28</f>
        <v>1650000</v>
      </c>
    </row>
    <row r="38" spans="2:12" x14ac:dyDescent="0.25">
      <c r="B38" s="64" t="s">
        <v>45</v>
      </c>
      <c r="C38" s="65">
        <f>F28*F30/720</f>
        <v>740208.33333333337</v>
      </c>
      <c r="D38" s="55"/>
      <c r="E38" s="66">
        <f>C38</f>
        <v>740208.33333333337</v>
      </c>
      <c r="F38" s="55"/>
      <c r="G38" s="53">
        <f>E38</f>
        <v>740208.33333333337</v>
      </c>
      <c r="J38" s="70"/>
      <c r="K38" s="71">
        <v>44042</v>
      </c>
      <c r="L38" s="72">
        <f>F28</f>
        <v>1650000</v>
      </c>
    </row>
    <row r="39" spans="2:12" x14ac:dyDescent="0.25">
      <c r="B39" s="16" t="s">
        <v>46</v>
      </c>
      <c r="C39" s="66">
        <f>F28*F30/720</f>
        <v>740208.33333333337</v>
      </c>
      <c r="D39" s="20"/>
      <c r="E39" s="20"/>
      <c r="F39" s="20"/>
      <c r="G39" s="53">
        <f>C39</f>
        <v>740208.33333333337</v>
      </c>
      <c r="K39" s="71">
        <v>44073</v>
      </c>
      <c r="L39" s="72">
        <f>F28</f>
        <v>1650000</v>
      </c>
    </row>
    <row r="40" spans="2:12" x14ac:dyDescent="0.25">
      <c r="B40" s="16"/>
      <c r="C40" s="20"/>
      <c r="D40" s="20"/>
      <c r="E40" s="20"/>
      <c r="F40" s="20"/>
      <c r="G40" s="54"/>
      <c r="K40" s="71">
        <v>44104</v>
      </c>
      <c r="L40" s="72">
        <f>F28</f>
        <v>1650000</v>
      </c>
    </row>
    <row r="41" spans="2:12" x14ac:dyDescent="0.25">
      <c r="B41" s="67" t="s">
        <v>31</v>
      </c>
      <c r="C41" s="20"/>
      <c r="D41" s="20"/>
      <c r="E41" s="20"/>
      <c r="F41" s="20"/>
      <c r="G41" s="53">
        <f>G32+G33+G34+G35+G36-G37-G38-G39</f>
        <v>1891209.559729957</v>
      </c>
      <c r="K41" s="71">
        <v>44134</v>
      </c>
      <c r="L41" s="72">
        <f>F28</f>
        <v>1650000</v>
      </c>
    </row>
    <row r="42" spans="2:12" x14ac:dyDescent="0.25">
      <c r="B42" s="16" t="s">
        <v>41</v>
      </c>
      <c r="C42" s="66">
        <f>(F28/30)*23</f>
        <v>1265000</v>
      </c>
      <c r="D42" s="20"/>
      <c r="E42" s="20"/>
      <c r="F42" s="20"/>
      <c r="G42" s="53">
        <f>C42</f>
        <v>1265000</v>
      </c>
      <c r="K42" s="71">
        <v>44165</v>
      </c>
      <c r="L42" s="72">
        <f>F28</f>
        <v>1650000</v>
      </c>
    </row>
    <row r="43" spans="2:12" x14ac:dyDescent="0.25">
      <c r="B43" s="16"/>
      <c r="C43" s="20"/>
      <c r="D43" s="20"/>
      <c r="E43" s="20"/>
      <c r="F43" s="20"/>
      <c r="G43" s="54"/>
      <c r="K43" s="71">
        <v>44172</v>
      </c>
      <c r="L43" s="72">
        <f>(F28/30*7)</f>
        <v>385000</v>
      </c>
    </row>
    <row r="44" spans="2:12" x14ac:dyDescent="0.25">
      <c r="B44" s="98" t="s">
        <v>32</v>
      </c>
      <c r="C44" s="99"/>
      <c r="D44" s="56"/>
      <c r="E44" s="56"/>
      <c r="F44" s="20"/>
      <c r="G44" s="53">
        <f>G41+G42</f>
        <v>3156209.559729957</v>
      </c>
      <c r="K44" s="74" t="s">
        <v>52</v>
      </c>
      <c r="L44" s="72">
        <f>SUM(L32:L43)</f>
        <v>18104273.666666664</v>
      </c>
    </row>
    <row r="45" spans="2:12" x14ac:dyDescent="0.25">
      <c r="B45" s="57"/>
      <c r="C45" s="56"/>
      <c r="D45" s="56"/>
      <c r="E45" s="56"/>
      <c r="F45" s="20"/>
      <c r="G45" s="54"/>
      <c r="K45" s="74" t="s">
        <v>53</v>
      </c>
      <c r="L45" s="72">
        <f>L44/11</f>
        <v>1645843.0606060603</v>
      </c>
    </row>
    <row r="46" spans="2:12" ht="15.75" thickBot="1" x14ac:dyDescent="0.3">
      <c r="B46" s="58"/>
      <c r="C46" s="59"/>
      <c r="D46" s="59"/>
      <c r="E46" s="59"/>
      <c r="F46" s="59"/>
      <c r="G46" s="60"/>
      <c r="K46" s="74" t="s">
        <v>50</v>
      </c>
      <c r="L46" s="72">
        <f>(L32+L33+L34+L35+L36+L37)/6</f>
        <v>1578212.2777777778</v>
      </c>
    </row>
    <row r="47" spans="2:12" x14ac:dyDescent="0.25">
      <c r="K47" s="74" t="s">
        <v>51</v>
      </c>
      <c r="L47" s="72">
        <f>(L38+L39+L40+L41+L42+L43)/5</f>
        <v>1727000</v>
      </c>
    </row>
  </sheetData>
  <mergeCells count="12">
    <mergeCell ref="B44:C44"/>
    <mergeCell ref="B3:G3"/>
    <mergeCell ref="E4:F4"/>
    <mergeCell ref="E5:F5"/>
    <mergeCell ref="E6:F6"/>
    <mergeCell ref="E7:F7"/>
    <mergeCell ref="E8:F8"/>
    <mergeCell ref="D26:E26"/>
    <mergeCell ref="D27:E27"/>
    <mergeCell ref="D28:E28"/>
    <mergeCell ref="D29:E29"/>
    <mergeCell ref="D30:E30"/>
  </mergeCells>
  <phoneticPr fontId="8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BB1C-1F1A-4ED1-A735-DCF35035C658}">
  <dimension ref="B2:G44"/>
  <sheetViews>
    <sheetView workbookViewId="0">
      <selection sqref="A1:XFD1048576"/>
    </sheetView>
  </sheetViews>
  <sheetFormatPr baseColWidth="10" defaultRowHeight="15" x14ac:dyDescent="0.25"/>
  <cols>
    <col min="2" max="2" width="47.28515625" customWidth="1"/>
    <col min="3" max="3" width="14.7109375" customWidth="1"/>
    <col min="4" max="4" width="13.5703125" customWidth="1"/>
    <col min="5" max="5" width="18.140625" customWidth="1"/>
    <col min="6" max="6" width="15" customWidth="1"/>
    <col min="7" max="7" width="21.7109375" customWidth="1"/>
  </cols>
  <sheetData>
    <row r="2" spans="2:7" ht="15.75" thickBot="1" x14ac:dyDescent="0.3"/>
    <row r="3" spans="2:7" ht="15.75" thickBot="1" x14ac:dyDescent="0.3">
      <c r="B3" s="105"/>
      <c r="C3" s="106"/>
      <c r="D3" s="106"/>
      <c r="E3" s="107"/>
      <c r="F3" s="107"/>
      <c r="G3" s="108"/>
    </row>
    <row r="4" spans="2:7" x14ac:dyDescent="0.25">
      <c r="B4" s="1" t="s">
        <v>40</v>
      </c>
      <c r="C4" s="2"/>
      <c r="D4" s="3"/>
      <c r="E4" s="109" t="s">
        <v>0</v>
      </c>
      <c r="F4" s="107"/>
      <c r="G4" s="4">
        <v>44166</v>
      </c>
    </row>
    <row r="5" spans="2:7" ht="15.75" thickBot="1" x14ac:dyDescent="0.3">
      <c r="B5" s="5" t="s">
        <v>1</v>
      </c>
      <c r="C5" s="6"/>
      <c r="D5" s="6"/>
      <c r="E5" s="110" t="s">
        <v>2</v>
      </c>
      <c r="F5" s="111"/>
      <c r="G5" s="7" t="s">
        <v>42</v>
      </c>
    </row>
    <row r="6" spans="2:7" ht="15.75" thickBot="1" x14ac:dyDescent="0.3">
      <c r="B6" s="8"/>
      <c r="C6" s="9"/>
      <c r="D6" s="9"/>
      <c r="E6" s="103" t="s">
        <v>3</v>
      </c>
      <c r="F6" s="104"/>
      <c r="G6" s="10">
        <v>920000</v>
      </c>
    </row>
    <row r="7" spans="2:7" ht="15.75" thickBot="1" x14ac:dyDescent="0.3">
      <c r="B7" s="8"/>
      <c r="C7" s="9"/>
      <c r="D7" s="9"/>
      <c r="E7" s="103" t="s">
        <v>4</v>
      </c>
      <c r="F7" s="104"/>
      <c r="G7" s="11">
        <v>102854</v>
      </c>
    </row>
    <row r="8" spans="2:7" ht="15.75" thickBot="1" x14ac:dyDescent="0.3">
      <c r="B8" s="8"/>
      <c r="C8" s="9"/>
      <c r="D8" s="9"/>
      <c r="E8" s="103" t="s">
        <v>5</v>
      </c>
      <c r="F8" s="104"/>
      <c r="G8" s="12">
        <f>DAYS360(G4,G5)+1</f>
        <v>3</v>
      </c>
    </row>
    <row r="9" spans="2:7" x14ac:dyDescent="0.25">
      <c r="B9" s="13"/>
      <c r="C9" s="14" t="s">
        <v>6</v>
      </c>
      <c r="D9" s="14" t="s">
        <v>7</v>
      </c>
      <c r="E9" s="14" t="s">
        <v>8</v>
      </c>
      <c r="F9" s="14"/>
      <c r="G9" s="15" t="s">
        <v>9</v>
      </c>
    </row>
    <row r="10" spans="2:7" x14ac:dyDescent="0.25">
      <c r="B10" s="16" t="s">
        <v>10</v>
      </c>
      <c r="C10" s="17">
        <f>D10*G8</f>
        <v>92000</v>
      </c>
      <c r="D10" s="18">
        <f>(G6/30)</f>
        <v>30666.666666666668</v>
      </c>
      <c r="E10" s="18"/>
      <c r="F10" s="18"/>
      <c r="G10" s="19">
        <f>C10</f>
        <v>92000</v>
      </c>
    </row>
    <row r="11" spans="2:7" x14ac:dyDescent="0.25">
      <c r="B11" s="16" t="s">
        <v>11</v>
      </c>
      <c r="C11" s="17">
        <f>G7/30*G8</f>
        <v>10285.4</v>
      </c>
      <c r="D11" s="18"/>
      <c r="E11" s="18"/>
      <c r="F11" s="18"/>
      <c r="G11" s="19">
        <f>+C11</f>
        <v>10285.4</v>
      </c>
    </row>
    <row r="12" spans="2:7" x14ac:dyDescent="0.25">
      <c r="B12" s="16" t="s">
        <v>12</v>
      </c>
      <c r="C12" s="17"/>
      <c r="D12" s="18"/>
      <c r="E12" s="18"/>
      <c r="F12" s="18"/>
      <c r="G12" s="19">
        <f>+C12</f>
        <v>0</v>
      </c>
    </row>
    <row r="13" spans="2:7" x14ac:dyDescent="0.25">
      <c r="B13" s="16" t="s">
        <v>13</v>
      </c>
      <c r="C13" s="17"/>
      <c r="D13" s="18"/>
      <c r="E13" s="18"/>
      <c r="F13" s="18"/>
      <c r="G13" s="19">
        <v>0</v>
      </c>
    </row>
    <row r="14" spans="2:7" x14ac:dyDescent="0.25">
      <c r="B14" s="16" t="s">
        <v>14</v>
      </c>
      <c r="C14" s="17">
        <v>0</v>
      </c>
      <c r="D14" s="18"/>
      <c r="E14" s="18"/>
      <c r="F14" s="18"/>
      <c r="G14" s="19">
        <v>0</v>
      </c>
    </row>
    <row r="15" spans="2:7" x14ac:dyDescent="0.25">
      <c r="B15" s="16" t="s">
        <v>15</v>
      </c>
      <c r="C15" s="17">
        <f>D15</f>
        <v>0</v>
      </c>
      <c r="D15" s="18">
        <v>0</v>
      </c>
      <c r="E15" s="18"/>
      <c r="F15" s="18"/>
      <c r="G15" s="19">
        <f>C15+D15</f>
        <v>0</v>
      </c>
    </row>
    <row r="16" spans="2:7" x14ac:dyDescent="0.25">
      <c r="B16" s="16" t="s">
        <v>16</v>
      </c>
      <c r="C16" s="17">
        <f>(D15*25%)</f>
        <v>0</v>
      </c>
      <c r="D16" s="18"/>
      <c r="E16" s="18"/>
      <c r="F16" s="18"/>
      <c r="G16" s="19">
        <f>C16+D16</f>
        <v>0</v>
      </c>
    </row>
    <row r="17" spans="2:7" x14ac:dyDescent="0.25">
      <c r="B17" s="16" t="s">
        <v>17</v>
      </c>
      <c r="C17" s="17">
        <f>(D15*75%)</f>
        <v>0</v>
      </c>
      <c r="D17" s="18"/>
      <c r="E17" s="18"/>
      <c r="F17" s="18"/>
      <c r="G17" s="19">
        <f>C17+D17</f>
        <v>0</v>
      </c>
    </row>
    <row r="18" spans="2:7" x14ac:dyDescent="0.25">
      <c r="B18" s="16" t="s">
        <v>18</v>
      </c>
      <c r="C18" s="17">
        <f>D15*35%</f>
        <v>0</v>
      </c>
      <c r="D18" s="18"/>
      <c r="E18" s="18"/>
      <c r="F18" s="18"/>
      <c r="G18" s="19">
        <f>C18</f>
        <v>0</v>
      </c>
    </row>
    <row r="19" spans="2:7" x14ac:dyDescent="0.25">
      <c r="B19" s="16" t="s">
        <v>19</v>
      </c>
      <c r="C19" s="17">
        <f>(D15*75%)</f>
        <v>0</v>
      </c>
      <c r="D19" s="18"/>
      <c r="E19" s="18"/>
      <c r="F19" s="18"/>
      <c r="G19" s="19">
        <f>C19+D19</f>
        <v>0</v>
      </c>
    </row>
    <row r="20" spans="2:7" x14ac:dyDescent="0.25">
      <c r="B20" s="16" t="s">
        <v>20</v>
      </c>
      <c r="C20" s="17"/>
      <c r="D20" s="20"/>
      <c r="E20" s="21">
        <f>C10*4%</f>
        <v>3680</v>
      </c>
      <c r="F20" s="22"/>
      <c r="G20" s="23">
        <f>+E20</f>
        <v>3680</v>
      </c>
    </row>
    <row r="21" spans="2:7" x14ac:dyDescent="0.25">
      <c r="B21" s="16" t="s">
        <v>21</v>
      </c>
      <c r="C21" s="17"/>
      <c r="D21" s="20"/>
      <c r="E21" s="21">
        <f>C10*4%</f>
        <v>3680</v>
      </c>
      <c r="F21" s="22"/>
      <c r="G21" s="23">
        <f>+E21</f>
        <v>3680</v>
      </c>
    </row>
    <row r="22" spans="2:7" x14ac:dyDescent="0.25">
      <c r="B22" s="16" t="s">
        <v>22</v>
      </c>
      <c r="C22" s="17"/>
      <c r="D22" s="20"/>
      <c r="E22" s="24" t="s">
        <v>23</v>
      </c>
      <c r="F22" s="20"/>
      <c r="G22" s="19"/>
    </row>
    <row r="23" spans="2:7" x14ac:dyDescent="0.25">
      <c r="B23" s="20" t="s">
        <v>24</v>
      </c>
      <c r="C23" s="17"/>
      <c r="D23" s="20"/>
      <c r="E23" s="25">
        <v>0</v>
      </c>
      <c r="F23" s="20"/>
      <c r="G23" s="18"/>
    </row>
    <row r="24" spans="2:7" x14ac:dyDescent="0.25">
      <c r="B24" s="20" t="s">
        <v>25</v>
      </c>
      <c r="C24" s="17"/>
      <c r="D24" s="20"/>
      <c r="E24" s="25"/>
      <c r="F24" s="20"/>
      <c r="G24" s="18">
        <f>G10+G11-G20-G21</f>
        <v>94925.4</v>
      </c>
    </row>
    <row r="25" spans="2:7" ht="15.75" thickBot="1" x14ac:dyDescent="0.3">
      <c r="B25" s="26"/>
      <c r="C25" s="27"/>
      <c r="D25" s="26"/>
      <c r="E25" s="28"/>
      <c r="F25" s="26"/>
      <c r="G25" s="29"/>
    </row>
    <row r="26" spans="2:7" x14ac:dyDescent="0.25">
      <c r="B26" s="30"/>
      <c r="C26" s="31"/>
      <c r="D26" s="100" t="s">
        <v>0</v>
      </c>
      <c r="E26" s="100"/>
      <c r="F26" s="32">
        <v>44075</v>
      </c>
      <c r="G26" s="33"/>
    </row>
    <row r="27" spans="2:7" x14ac:dyDescent="0.25">
      <c r="B27" s="13"/>
      <c r="C27" s="34"/>
      <c r="D27" s="101" t="s">
        <v>26</v>
      </c>
      <c r="E27" s="101"/>
      <c r="F27" s="35">
        <v>44168</v>
      </c>
      <c r="G27" s="36"/>
    </row>
    <row r="28" spans="2:7" x14ac:dyDescent="0.25">
      <c r="B28" s="37"/>
      <c r="C28" s="38"/>
      <c r="D28" s="102" t="s">
        <v>3</v>
      </c>
      <c r="E28" s="102"/>
      <c r="F28" s="39">
        <f>G6</f>
        <v>920000</v>
      </c>
      <c r="G28" s="36"/>
    </row>
    <row r="29" spans="2:7" x14ac:dyDescent="0.25">
      <c r="B29" s="13"/>
      <c r="C29" s="38"/>
      <c r="D29" s="102" t="s">
        <v>4</v>
      </c>
      <c r="E29" s="102"/>
      <c r="F29" s="40">
        <v>102854</v>
      </c>
      <c r="G29" s="36"/>
    </row>
    <row r="30" spans="2:7" ht="15.75" thickBot="1" x14ac:dyDescent="0.3">
      <c r="B30" s="13"/>
      <c r="C30" s="38"/>
      <c r="D30" s="96" t="s">
        <v>33</v>
      </c>
      <c r="E30" s="97"/>
      <c r="F30" s="61">
        <f>DAYS360(F26,F27)+1</f>
        <v>93</v>
      </c>
      <c r="G30" s="36"/>
    </row>
    <row r="31" spans="2:7" ht="15.75" thickBot="1" x14ac:dyDescent="0.3">
      <c r="B31" s="41"/>
      <c r="C31" s="42" t="s">
        <v>6</v>
      </c>
      <c r="D31" s="43" t="s">
        <v>7</v>
      </c>
      <c r="E31" s="44" t="s">
        <v>8</v>
      </c>
      <c r="F31" s="44"/>
      <c r="G31" s="45" t="s">
        <v>9</v>
      </c>
    </row>
    <row r="32" spans="2:7" x14ac:dyDescent="0.25">
      <c r="B32" s="46" t="s">
        <v>27</v>
      </c>
      <c r="C32" s="47">
        <f>(F28+F29)*F30/360</f>
        <v>264237.28333333333</v>
      </c>
      <c r="D32" s="48"/>
      <c r="E32" s="49"/>
      <c r="F32" s="48"/>
      <c r="G32" s="47">
        <f>C32</f>
        <v>264237.28333333333</v>
      </c>
    </row>
    <row r="33" spans="2:7" x14ac:dyDescent="0.25">
      <c r="B33" s="16" t="s">
        <v>28</v>
      </c>
      <c r="C33" s="17">
        <f>((F28+F29)*F30)/360</f>
        <v>264237.28333333333</v>
      </c>
      <c r="D33" s="20"/>
      <c r="E33" s="50"/>
      <c r="F33" s="20"/>
      <c r="G33" s="51">
        <f>C33</f>
        <v>264237.28333333333</v>
      </c>
    </row>
    <row r="34" spans="2:7" x14ac:dyDescent="0.25">
      <c r="B34" s="52" t="s">
        <v>29</v>
      </c>
      <c r="C34" s="17">
        <f>C33*F30*0.12/360</f>
        <v>8191.3557833333316</v>
      </c>
      <c r="D34" s="20"/>
      <c r="E34" s="50"/>
      <c r="F34" s="20"/>
      <c r="G34" s="53">
        <f>C34</f>
        <v>8191.3557833333316</v>
      </c>
    </row>
    <row r="35" spans="2:7" x14ac:dyDescent="0.25">
      <c r="B35" s="52" t="s">
        <v>30</v>
      </c>
      <c r="C35" s="17">
        <f>F28*F30/720</f>
        <v>118833.33333333333</v>
      </c>
      <c r="D35" s="20"/>
      <c r="E35" s="50"/>
      <c r="F35" s="20"/>
      <c r="G35" s="53">
        <f>C35</f>
        <v>118833.33333333333</v>
      </c>
    </row>
    <row r="36" spans="2:7" x14ac:dyDescent="0.25">
      <c r="B36" s="16" t="s">
        <v>34</v>
      </c>
      <c r="C36" s="62">
        <v>0</v>
      </c>
      <c r="D36" s="20"/>
      <c r="E36" s="17">
        <f>C36</f>
        <v>0</v>
      </c>
      <c r="F36" s="20"/>
      <c r="G36" s="63">
        <f>E36</f>
        <v>0</v>
      </c>
    </row>
    <row r="37" spans="2:7" x14ac:dyDescent="0.25">
      <c r="B37" s="64" t="s">
        <v>35</v>
      </c>
      <c r="C37" s="65">
        <v>0</v>
      </c>
      <c r="D37" s="55"/>
      <c r="E37" s="66">
        <f>C37</f>
        <v>0</v>
      </c>
      <c r="F37" s="55"/>
      <c r="G37" s="53">
        <f>E37</f>
        <v>0</v>
      </c>
    </row>
    <row r="38" spans="2:7" x14ac:dyDescent="0.25">
      <c r="B38" s="16"/>
      <c r="C38" s="20"/>
      <c r="D38" s="20"/>
      <c r="E38" s="20"/>
      <c r="F38" s="20"/>
      <c r="G38" s="54"/>
    </row>
    <row r="39" spans="2:7" x14ac:dyDescent="0.25">
      <c r="B39" s="16" t="s">
        <v>31</v>
      </c>
      <c r="C39" s="20"/>
      <c r="D39" s="20"/>
      <c r="E39" s="20"/>
      <c r="F39" s="20"/>
      <c r="G39" s="53">
        <f>G32+G33+G34+G35</f>
        <v>655499.25578333333</v>
      </c>
    </row>
    <row r="40" spans="2:7" x14ac:dyDescent="0.25">
      <c r="B40" s="16" t="s">
        <v>44</v>
      </c>
      <c r="C40" s="66">
        <f>F28/30*18</f>
        <v>552000</v>
      </c>
      <c r="D40" s="20"/>
      <c r="E40" s="20"/>
      <c r="F40" s="20"/>
      <c r="G40" s="53">
        <f>C40</f>
        <v>552000</v>
      </c>
    </row>
    <row r="41" spans="2:7" x14ac:dyDescent="0.25">
      <c r="B41" s="16"/>
      <c r="C41" s="20"/>
      <c r="D41" s="20"/>
      <c r="E41" s="20"/>
      <c r="F41" s="20"/>
      <c r="G41" s="54"/>
    </row>
    <row r="42" spans="2:7" x14ac:dyDescent="0.25">
      <c r="B42" s="98" t="s">
        <v>32</v>
      </c>
      <c r="C42" s="99"/>
      <c r="D42" s="56"/>
      <c r="E42" s="56"/>
      <c r="F42" s="20"/>
      <c r="G42" s="53">
        <f>G39+G40</f>
        <v>1207499.2557833334</v>
      </c>
    </row>
    <row r="43" spans="2:7" x14ac:dyDescent="0.25">
      <c r="B43" s="57"/>
      <c r="C43" s="56"/>
      <c r="D43" s="56"/>
      <c r="E43" s="56"/>
      <c r="F43" s="20"/>
      <c r="G43" s="54"/>
    </row>
    <row r="44" spans="2:7" ht="15.75" thickBot="1" x14ac:dyDescent="0.3">
      <c r="B44" s="58"/>
      <c r="C44" s="59"/>
      <c r="D44" s="59"/>
      <c r="E44" s="59"/>
      <c r="F44" s="59"/>
      <c r="G44" s="60"/>
    </row>
  </sheetData>
  <mergeCells count="12">
    <mergeCell ref="B42:C42"/>
    <mergeCell ref="B3:G3"/>
    <mergeCell ref="E4:F4"/>
    <mergeCell ref="E5:F5"/>
    <mergeCell ref="E6:F6"/>
    <mergeCell ref="E7:F7"/>
    <mergeCell ref="E8:F8"/>
    <mergeCell ref="D26:E26"/>
    <mergeCell ref="D27:E27"/>
    <mergeCell ref="D28:E28"/>
    <mergeCell ref="D29:E29"/>
    <mergeCell ref="D30:E3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EBBF-4E36-48CC-862C-B4594AC2E223}">
  <dimension ref="B2:G44"/>
  <sheetViews>
    <sheetView topLeftCell="B19" workbookViewId="0">
      <selection activeCell="B32" sqref="B32"/>
    </sheetView>
  </sheetViews>
  <sheetFormatPr baseColWidth="10" defaultRowHeight="15" x14ac:dyDescent="0.25"/>
  <cols>
    <col min="2" max="2" width="47.28515625" customWidth="1"/>
    <col min="3" max="3" width="14.7109375" customWidth="1"/>
    <col min="4" max="4" width="13.5703125" customWidth="1"/>
    <col min="5" max="5" width="18.140625" customWidth="1"/>
    <col min="6" max="6" width="15" customWidth="1"/>
    <col min="7" max="7" width="21.7109375" customWidth="1"/>
  </cols>
  <sheetData>
    <row r="2" spans="2:7" ht="15.75" thickBot="1" x14ac:dyDescent="0.3"/>
    <row r="3" spans="2:7" ht="15.75" thickBot="1" x14ac:dyDescent="0.3">
      <c r="B3" s="105"/>
      <c r="C3" s="106"/>
      <c r="D3" s="106"/>
      <c r="E3" s="107"/>
      <c r="F3" s="107"/>
      <c r="G3" s="108"/>
    </row>
    <row r="4" spans="2:7" x14ac:dyDescent="0.25">
      <c r="B4" s="1" t="s">
        <v>36</v>
      </c>
      <c r="C4" s="2"/>
      <c r="D4" s="3"/>
      <c r="E4" s="109" t="s">
        <v>0</v>
      </c>
      <c r="F4" s="107"/>
      <c r="G4" s="4">
        <v>44166</v>
      </c>
    </row>
    <row r="5" spans="2:7" ht="15.75" thickBot="1" x14ac:dyDescent="0.3">
      <c r="B5" s="5" t="s">
        <v>1</v>
      </c>
      <c r="C5" s="6"/>
      <c r="D5" s="6"/>
      <c r="E5" s="110" t="s">
        <v>2</v>
      </c>
      <c r="F5" s="111"/>
      <c r="G5" s="7" t="s">
        <v>43</v>
      </c>
    </row>
    <row r="6" spans="2:7" ht="15.75" thickBot="1" x14ac:dyDescent="0.3">
      <c r="B6" s="8"/>
      <c r="C6" s="9"/>
      <c r="D6" s="9"/>
      <c r="E6" s="103" t="s">
        <v>3</v>
      </c>
      <c r="F6" s="104"/>
      <c r="G6" s="10">
        <v>1300000</v>
      </c>
    </row>
    <row r="7" spans="2:7" ht="15.75" thickBot="1" x14ac:dyDescent="0.3">
      <c r="B7" s="8"/>
      <c r="C7" s="9"/>
      <c r="D7" s="9"/>
      <c r="E7" s="103" t="s">
        <v>4</v>
      </c>
      <c r="F7" s="104"/>
      <c r="G7" s="11">
        <v>102854</v>
      </c>
    </row>
    <row r="8" spans="2:7" ht="15.75" thickBot="1" x14ac:dyDescent="0.3">
      <c r="B8" s="8"/>
      <c r="C8" s="9"/>
      <c r="D8" s="9"/>
      <c r="E8" s="103" t="s">
        <v>5</v>
      </c>
      <c r="F8" s="104"/>
      <c r="G8" s="12">
        <f>DAYS360(G4,G5)+1</f>
        <v>30</v>
      </c>
    </row>
    <row r="9" spans="2:7" x14ac:dyDescent="0.25">
      <c r="B9" s="13"/>
      <c r="C9" s="14" t="s">
        <v>6</v>
      </c>
      <c r="D9" s="14" t="s">
        <v>7</v>
      </c>
      <c r="E9" s="14" t="s">
        <v>8</v>
      </c>
      <c r="F9" s="14"/>
      <c r="G9" s="15" t="s">
        <v>9</v>
      </c>
    </row>
    <row r="10" spans="2:7" x14ac:dyDescent="0.25">
      <c r="B10" s="16" t="s">
        <v>10</v>
      </c>
      <c r="C10" s="17">
        <f>D10*G8</f>
        <v>1300000</v>
      </c>
      <c r="D10" s="18">
        <f>(G6/30)</f>
        <v>43333.333333333336</v>
      </c>
      <c r="E10" s="18"/>
      <c r="F10" s="18"/>
      <c r="G10" s="19">
        <f>C10</f>
        <v>1300000</v>
      </c>
    </row>
    <row r="11" spans="2:7" x14ac:dyDescent="0.25">
      <c r="B11" s="16" t="s">
        <v>11</v>
      </c>
      <c r="C11" s="17">
        <f>(G7/30)*15</f>
        <v>51427</v>
      </c>
      <c r="D11" s="18"/>
      <c r="E11" s="18"/>
      <c r="F11" s="18"/>
      <c r="G11" s="19">
        <f>+C11</f>
        <v>51427</v>
      </c>
    </row>
    <row r="12" spans="2:7" x14ac:dyDescent="0.25">
      <c r="B12" s="16" t="s">
        <v>12</v>
      </c>
      <c r="C12" s="17">
        <f>(G7/30)*15</f>
        <v>51427</v>
      </c>
      <c r="D12" s="18"/>
      <c r="E12" s="18"/>
      <c r="F12" s="18"/>
      <c r="G12" s="19">
        <f>+C12</f>
        <v>51427</v>
      </c>
    </row>
    <row r="13" spans="2:7" x14ac:dyDescent="0.25">
      <c r="B13" s="16" t="s">
        <v>13</v>
      </c>
      <c r="C13" s="17"/>
      <c r="D13" s="18"/>
      <c r="E13" s="18"/>
      <c r="F13" s="18"/>
      <c r="G13" s="19">
        <v>0</v>
      </c>
    </row>
    <row r="14" spans="2:7" x14ac:dyDescent="0.25">
      <c r="B14" s="16" t="s">
        <v>14</v>
      </c>
      <c r="C14" s="17">
        <v>0</v>
      </c>
      <c r="D14" s="18"/>
      <c r="E14" s="18"/>
      <c r="F14" s="18"/>
      <c r="G14" s="19">
        <v>0</v>
      </c>
    </row>
    <row r="15" spans="2:7" x14ac:dyDescent="0.25">
      <c r="B15" s="16" t="s">
        <v>15</v>
      </c>
      <c r="C15" s="17">
        <f>D15</f>
        <v>0</v>
      </c>
      <c r="D15" s="18">
        <v>0</v>
      </c>
      <c r="E15" s="18"/>
      <c r="F15" s="18"/>
      <c r="G15" s="19">
        <f>C15+D15</f>
        <v>0</v>
      </c>
    </row>
    <row r="16" spans="2:7" x14ac:dyDescent="0.25">
      <c r="B16" s="16" t="s">
        <v>16</v>
      </c>
      <c r="C16" s="17">
        <f>(D15*25%)</f>
        <v>0</v>
      </c>
      <c r="D16" s="18"/>
      <c r="E16" s="18"/>
      <c r="F16" s="18"/>
      <c r="G16" s="19">
        <f>C16+D16</f>
        <v>0</v>
      </c>
    </row>
    <row r="17" spans="2:7" x14ac:dyDescent="0.25">
      <c r="B17" s="16" t="s">
        <v>17</v>
      </c>
      <c r="C17" s="17">
        <f>(D15*75%)</f>
        <v>0</v>
      </c>
      <c r="D17" s="18"/>
      <c r="E17" s="18"/>
      <c r="F17" s="18"/>
      <c r="G17" s="19">
        <f>C17+D17</f>
        <v>0</v>
      </c>
    </row>
    <row r="18" spans="2:7" x14ac:dyDescent="0.25">
      <c r="B18" s="16" t="s">
        <v>18</v>
      </c>
      <c r="C18" s="17">
        <f>D15*35%</f>
        <v>0</v>
      </c>
      <c r="D18" s="18"/>
      <c r="E18" s="18"/>
      <c r="F18" s="18"/>
      <c r="G18" s="19">
        <f>C18</f>
        <v>0</v>
      </c>
    </row>
    <row r="19" spans="2:7" x14ac:dyDescent="0.25">
      <c r="B19" s="16" t="s">
        <v>19</v>
      </c>
      <c r="C19" s="17">
        <f>(D15*75%)</f>
        <v>0</v>
      </c>
      <c r="D19" s="18"/>
      <c r="E19" s="18"/>
      <c r="F19" s="18"/>
      <c r="G19" s="19">
        <f>C19+D19</f>
        <v>0</v>
      </c>
    </row>
    <row r="20" spans="2:7" x14ac:dyDescent="0.25">
      <c r="B20" s="16" t="s">
        <v>20</v>
      </c>
      <c r="C20" s="17"/>
      <c r="D20" s="20"/>
      <c r="E20" s="21">
        <f>+G10*0.04</f>
        <v>52000</v>
      </c>
      <c r="F20" s="22"/>
      <c r="G20" s="23">
        <f>+E20</f>
        <v>52000</v>
      </c>
    </row>
    <row r="21" spans="2:7" x14ac:dyDescent="0.25">
      <c r="B21" s="16" t="s">
        <v>21</v>
      </c>
      <c r="C21" s="17"/>
      <c r="D21" s="20"/>
      <c r="E21" s="21">
        <f>+G10*0.04</f>
        <v>52000</v>
      </c>
      <c r="F21" s="22"/>
      <c r="G21" s="23">
        <f>+E21</f>
        <v>52000</v>
      </c>
    </row>
    <row r="22" spans="2:7" x14ac:dyDescent="0.25">
      <c r="B22" s="16" t="s">
        <v>22</v>
      </c>
      <c r="C22" s="17"/>
      <c r="D22" s="20"/>
      <c r="E22" s="24" t="s">
        <v>23</v>
      </c>
      <c r="F22" s="20"/>
      <c r="G22" s="19"/>
    </row>
    <row r="23" spans="2:7" x14ac:dyDescent="0.25">
      <c r="B23" s="20" t="s">
        <v>24</v>
      </c>
      <c r="C23" s="17"/>
      <c r="D23" s="20"/>
      <c r="E23" s="25">
        <v>0</v>
      </c>
      <c r="F23" s="20"/>
      <c r="G23" s="18"/>
    </row>
    <row r="24" spans="2:7" x14ac:dyDescent="0.25">
      <c r="B24" s="20" t="s">
        <v>25</v>
      </c>
      <c r="C24" s="17"/>
      <c r="D24" s="20"/>
      <c r="E24" s="25"/>
      <c r="F24" s="20"/>
      <c r="G24" s="18">
        <f>G10+G11+G12-G20-G21</f>
        <v>1298854</v>
      </c>
    </row>
    <row r="25" spans="2:7" ht="15.75" thickBot="1" x14ac:dyDescent="0.3">
      <c r="B25" s="26"/>
      <c r="C25" s="27"/>
      <c r="D25" s="26"/>
      <c r="E25" s="28"/>
      <c r="F25" s="26"/>
      <c r="G25" s="29"/>
    </row>
    <row r="26" spans="2:7" x14ac:dyDescent="0.25">
      <c r="B26" s="30"/>
      <c r="C26" s="31"/>
      <c r="D26" s="100" t="s">
        <v>0</v>
      </c>
      <c r="E26" s="100"/>
      <c r="F26" s="32">
        <v>44048</v>
      </c>
      <c r="G26" s="33"/>
    </row>
    <row r="27" spans="2:7" x14ac:dyDescent="0.25">
      <c r="B27" s="13"/>
      <c r="C27" s="34"/>
      <c r="D27" s="101" t="s">
        <v>26</v>
      </c>
      <c r="E27" s="101"/>
      <c r="F27" s="35">
        <v>44195</v>
      </c>
      <c r="G27" s="36"/>
    </row>
    <row r="28" spans="2:7" x14ac:dyDescent="0.25">
      <c r="B28" s="37"/>
      <c r="C28" s="38"/>
      <c r="D28" s="102" t="s">
        <v>3</v>
      </c>
      <c r="E28" s="102"/>
      <c r="F28" s="39">
        <f>G6</f>
        <v>1300000</v>
      </c>
      <c r="G28" s="36"/>
    </row>
    <row r="29" spans="2:7" x14ac:dyDescent="0.25">
      <c r="B29" s="13"/>
      <c r="C29" s="38"/>
      <c r="D29" s="102" t="s">
        <v>4</v>
      </c>
      <c r="E29" s="102"/>
      <c r="F29" s="40">
        <f>(G7/2)</f>
        <v>51427</v>
      </c>
      <c r="G29" s="36"/>
    </row>
    <row r="30" spans="2:7" ht="15.75" thickBot="1" x14ac:dyDescent="0.3">
      <c r="B30" s="13"/>
      <c r="C30" s="38"/>
      <c r="D30" s="96" t="s">
        <v>33</v>
      </c>
      <c r="E30" s="97"/>
      <c r="F30" s="61">
        <f>DAYS360(F26,F27)+1</f>
        <v>146</v>
      </c>
      <c r="G30" s="36"/>
    </row>
    <row r="31" spans="2:7" ht="15.75" thickBot="1" x14ac:dyDescent="0.3">
      <c r="B31" s="41"/>
      <c r="C31" s="42" t="s">
        <v>6</v>
      </c>
      <c r="D31" s="43" t="s">
        <v>7</v>
      </c>
      <c r="E31" s="44" t="s">
        <v>8</v>
      </c>
      <c r="F31" s="44"/>
      <c r="G31" s="45" t="s">
        <v>9</v>
      </c>
    </row>
    <row r="32" spans="2:7" ht="15.75" thickBot="1" x14ac:dyDescent="0.3">
      <c r="B32" s="46" t="s">
        <v>27</v>
      </c>
      <c r="C32" s="47">
        <f>(F28+F29)*F30/360</f>
        <v>548078.72777777782</v>
      </c>
      <c r="D32" s="48"/>
      <c r="E32" s="49"/>
      <c r="F32" s="77"/>
      <c r="G32" s="78">
        <f>C32</f>
        <v>548078.72777777782</v>
      </c>
    </row>
    <row r="33" spans="2:7" x14ac:dyDescent="0.25">
      <c r="B33" s="16" t="s">
        <v>28</v>
      </c>
      <c r="C33" s="17"/>
      <c r="D33" s="20"/>
      <c r="E33" s="50"/>
      <c r="F33" s="20"/>
      <c r="G33" s="76">
        <f>C33</f>
        <v>0</v>
      </c>
    </row>
    <row r="34" spans="2:7" x14ac:dyDescent="0.25">
      <c r="B34" s="52" t="s">
        <v>29</v>
      </c>
      <c r="C34" s="17"/>
      <c r="D34" s="20"/>
      <c r="E34" s="50"/>
      <c r="F34" s="20"/>
      <c r="G34" s="53">
        <f>C34</f>
        <v>0</v>
      </c>
    </row>
    <row r="35" spans="2:7" x14ac:dyDescent="0.25">
      <c r="B35" s="52" t="s">
        <v>30</v>
      </c>
      <c r="C35" s="17"/>
      <c r="D35" s="20"/>
      <c r="E35" s="50"/>
      <c r="F35" s="20"/>
      <c r="G35" s="53">
        <f>C35</f>
        <v>0</v>
      </c>
    </row>
    <row r="36" spans="2:7" x14ac:dyDescent="0.25">
      <c r="B36" s="16" t="s">
        <v>34</v>
      </c>
      <c r="C36" s="62"/>
      <c r="D36" s="20"/>
      <c r="E36" s="17">
        <f>C36</f>
        <v>0</v>
      </c>
      <c r="F36" s="20"/>
      <c r="G36" s="63">
        <f>E36</f>
        <v>0</v>
      </c>
    </row>
    <row r="37" spans="2:7" x14ac:dyDescent="0.25">
      <c r="B37" s="64" t="s">
        <v>35</v>
      </c>
      <c r="C37" s="65"/>
      <c r="D37" s="55"/>
      <c r="E37" s="66">
        <f>C37</f>
        <v>0</v>
      </c>
      <c r="F37" s="55"/>
      <c r="G37" s="53">
        <f>E37</f>
        <v>0</v>
      </c>
    </row>
    <row r="38" spans="2:7" x14ac:dyDescent="0.25">
      <c r="B38" s="16"/>
      <c r="C38" s="20"/>
      <c r="D38" s="20"/>
      <c r="E38" s="20"/>
      <c r="F38" s="20"/>
      <c r="G38" s="54"/>
    </row>
    <row r="39" spans="2:7" x14ac:dyDescent="0.25">
      <c r="B39" s="16" t="s">
        <v>31</v>
      </c>
      <c r="C39" s="20"/>
      <c r="D39" s="20"/>
      <c r="E39" s="20"/>
      <c r="F39" s="20"/>
      <c r="G39" s="53"/>
    </row>
    <row r="40" spans="2:7" x14ac:dyDescent="0.25">
      <c r="B40" s="16"/>
      <c r="C40" s="20"/>
      <c r="D40" s="20"/>
      <c r="E40" s="20"/>
      <c r="F40" s="20"/>
      <c r="G40" s="54"/>
    </row>
    <row r="41" spans="2:7" x14ac:dyDescent="0.25">
      <c r="B41" s="16"/>
      <c r="C41" s="20"/>
      <c r="D41" s="20"/>
      <c r="E41" s="20"/>
      <c r="F41" s="20"/>
      <c r="G41" s="54"/>
    </row>
    <row r="42" spans="2:7" x14ac:dyDescent="0.25">
      <c r="B42" s="98" t="s">
        <v>32</v>
      </c>
      <c r="C42" s="99"/>
      <c r="D42" s="56"/>
      <c r="E42" s="56"/>
      <c r="F42" s="20"/>
      <c r="G42" s="53">
        <f>G32+G33+G34+G35+-G36-G37</f>
        <v>548078.72777777782</v>
      </c>
    </row>
    <row r="43" spans="2:7" x14ac:dyDescent="0.25">
      <c r="B43" s="57"/>
      <c r="C43" s="56"/>
      <c r="D43" s="56"/>
      <c r="E43" s="56"/>
      <c r="F43" s="20"/>
      <c r="G43" s="54"/>
    </row>
    <row r="44" spans="2:7" ht="15.75" thickBot="1" x14ac:dyDescent="0.3">
      <c r="B44" s="58"/>
      <c r="C44" s="59"/>
      <c r="D44" s="59"/>
      <c r="E44" s="59"/>
      <c r="F44" s="59"/>
      <c r="G44" s="60"/>
    </row>
  </sheetData>
  <mergeCells count="12">
    <mergeCell ref="B42:C42"/>
    <mergeCell ref="B3:G3"/>
    <mergeCell ref="E4:F4"/>
    <mergeCell ref="E5:F5"/>
    <mergeCell ref="E6:F6"/>
    <mergeCell ref="E7:F7"/>
    <mergeCell ref="E8:F8"/>
    <mergeCell ref="D26:E26"/>
    <mergeCell ref="D27:E27"/>
    <mergeCell ref="D28:E28"/>
    <mergeCell ref="D29:E29"/>
    <mergeCell ref="D30:E30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DA42-1820-4F4B-8034-CF3B030BEAF4}">
  <dimension ref="B2:J44"/>
  <sheetViews>
    <sheetView tabSelected="1" topLeftCell="C23" workbookViewId="0">
      <selection activeCell="G43" sqref="G43"/>
    </sheetView>
  </sheetViews>
  <sheetFormatPr baseColWidth="10" defaultRowHeight="15" x14ac:dyDescent="0.25"/>
  <cols>
    <col min="2" max="2" width="47.28515625" customWidth="1"/>
    <col min="3" max="3" width="14.7109375" customWidth="1"/>
    <col min="4" max="4" width="13.5703125" customWidth="1"/>
    <col min="5" max="5" width="18.140625" customWidth="1"/>
    <col min="6" max="6" width="17" customWidth="1"/>
    <col min="7" max="7" width="21.7109375" customWidth="1"/>
    <col min="9" max="9" width="42.28515625" customWidth="1"/>
    <col min="10" max="10" width="28.42578125" customWidth="1"/>
  </cols>
  <sheetData>
    <row r="2" spans="2:7" ht="15.75" thickBot="1" x14ac:dyDescent="0.3"/>
    <row r="3" spans="2:7" ht="15.75" thickBot="1" x14ac:dyDescent="0.3">
      <c r="B3" s="105"/>
      <c r="C3" s="106"/>
      <c r="D3" s="106"/>
      <c r="E3" s="107"/>
      <c r="F3" s="107"/>
      <c r="G3" s="108"/>
    </row>
    <row r="4" spans="2:7" x14ac:dyDescent="0.25">
      <c r="B4" s="1" t="s">
        <v>54</v>
      </c>
      <c r="C4" s="2"/>
      <c r="D4" s="3"/>
      <c r="E4" s="109" t="s">
        <v>0</v>
      </c>
      <c r="F4" s="107"/>
      <c r="G4" s="4">
        <v>44166</v>
      </c>
    </row>
    <row r="5" spans="2:7" ht="15.75" thickBot="1" x14ac:dyDescent="0.3">
      <c r="B5" s="5"/>
      <c r="C5" s="6"/>
      <c r="D5" s="6"/>
      <c r="E5" s="110" t="s">
        <v>2</v>
      </c>
      <c r="F5" s="111"/>
      <c r="G5" s="7" t="s">
        <v>39</v>
      </c>
    </row>
    <row r="6" spans="2:7" ht="15.75" thickBot="1" x14ac:dyDescent="0.3">
      <c r="B6" s="8"/>
      <c r="C6" s="9"/>
      <c r="D6" s="9"/>
      <c r="E6" s="103" t="s">
        <v>3</v>
      </c>
      <c r="F6" s="104"/>
      <c r="G6" s="10">
        <v>11411438</v>
      </c>
    </row>
    <row r="7" spans="2:7" ht="15.75" thickBot="1" x14ac:dyDescent="0.3">
      <c r="B7" s="8"/>
      <c r="C7" s="9"/>
      <c r="D7" s="9"/>
      <c r="E7" s="103" t="s">
        <v>4</v>
      </c>
      <c r="F7" s="104"/>
      <c r="G7" s="11"/>
    </row>
    <row r="8" spans="2:7" ht="15.75" thickBot="1" x14ac:dyDescent="0.3">
      <c r="B8" s="8"/>
      <c r="C8" s="9"/>
      <c r="D8" s="9"/>
      <c r="E8" s="103" t="s">
        <v>5</v>
      </c>
      <c r="F8" s="104"/>
      <c r="G8" s="12">
        <f>DAYS360(G4,G5)+1</f>
        <v>7</v>
      </c>
    </row>
    <row r="9" spans="2:7" x14ac:dyDescent="0.25">
      <c r="B9" s="13"/>
      <c r="C9" s="14" t="s">
        <v>6</v>
      </c>
      <c r="D9" s="14" t="s">
        <v>7</v>
      </c>
      <c r="E9" s="14" t="s">
        <v>8</v>
      </c>
      <c r="F9" s="14"/>
      <c r="G9" s="15" t="s">
        <v>9</v>
      </c>
    </row>
    <row r="10" spans="2:7" x14ac:dyDescent="0.25">
      <c r="B10" s="16" t="s">
        <v>10</v>
      </c>
      <c r="C10" s="17">
        <f>D10*G8</f>
        <v>2662668.8666666667</v>
      </c>
      <c r="D10" s="17">
        <f>(G6/30)</f>
        <v>380381.26666666666</v>
      </c>
      <c r="E10" s="18"/>
      <c r="F10" s="18"/>
      <c r="G10" s="51">
        <f>C10</f>
        <v>2662668.8666666667</v>
      </c>
    </row>
    <row r="11" spans="2:7" x14ac:dyDescent="0.25">
      <c r="B11" s="16" t="s">
        <v>11</v>
      </c>
      <c r="C11" s="17">
        <f>G7/30*G8</f>
        <v>0</v>
      </c>
      <c r="D11" s="18"/>
      <c r="E11" s="18"/>
      <c r="F11" s="18"/>
      <c r="G11" s="19">
        <f>+C11</f>
        <v>0</v>
      </c>
    </row>
    <row r="12" spans="2:7" x14ac:dyDescent="0.25">
      <c r="B12" s="16" t="s">
        <v>12</v>
      </c>
      <c r="C12" s="17"/>
      <c r="D12" s="18"/>
      <c r="E12" s="18"/>
      <c r="F12" s="18"/>
      <c r="G12" s="19">
        <f>+C12</f>
        <v>0</v>
      </c>
    </row>
    <row r="13" spans="2:7" x14ac:dyDescent="0.25">
      <c r="B13" s="16" t="s">
        <v>13</v>
      </c>
      <c r="C13" s="17"/>
      <c r="D13" s="18"/>
      <c r="E13" s="18"/>
      <c r="F13" s="18"/>
      <c r="G13" s="19">
        <v>0</v>
      </c>
    </row>
    <row r="14" spans="2:7" x14ac:dyDescent="0.25">
      <c r="B14" s="16" t="s">
        <v>14</v>
      </c>
      <c r="C14" s="17">
        <v>0</v>
      </c>
      <c r="D14" s="18"/>
      <c r="E14" s="18"/>
      <c r="F14" s="18"/>
      <c r="G14" s="19">
        <v>0</v>
      </c>
    </row>
    <row r="15" spans="2:7" x14ac:dyDescent="0.25">
      <c r="B15" s="16" t="s">
        <v>15</v>
      </c>
      <c r="C15" s="17">
        <f>D15</f>
        <v>0</v>
      </c>
      <c r="D15" s="18">
        <v>0</v>
      </c>
      <c r="E15" s="18"/>
      <c r="F15" s="18"/>
      <c r="G15" s="19">
        <f>C15+D15</f>
        <v>0</v>
      </c>
    </row>
    <row r="16" spans="2:7" x14ac:dyDescent="0.25">
      <c r="B16" s="16" t="s">
        <v>16</v>
      </c>
      <c r="C16" s="17">
        <f>(D15*25%)</f>
        <v>0</v>
      </c>
      <c r="D16" s="18"/>
      <c r="E16" s="18"/>
      <c r="F16" s="18"/>
      <c r="G16" s="19">
        <f>C16+D16</f>
        <v>0</v>
      </c>
    </row>
    <row r="17" spans="2:10" x14ac:dyDescent="0.25">
      <c r="B17" s="16" t="s">
        <v>17</v>
      </c>
      <c r="C17" s="17">
        <f>(D15*75%)</f>
        <v>0</v>
      </c>
      <c r="D17" s="18"/>
      <c r="E17" s="18"/>
      <c r="F17" s="18"/>
      <c r="G17" s="19">
        <f>C17+D17</f>
        <v>0</v>
      </c>
    </row>
    <row r="18" spans="2:10" x14ac:dyDescent="0.25">
      <c r="B18" s="16" t="s">
        <v>18</v>
      </c>
      <c r="C18" s="17">
        <f>D15*35%</f>
        <v>0</v>
      </c>
      <c r="D18" s="18"/>
      <c r="E18" s="18"/>
      <c r="F18" s="18"/>
      <c r="G18" s="19">
        <f>C18</f>
        <v>0</v>
      </c>
    </row>
    <row r="19" spans="2:10" x14ac:dyDescent="0.25">
      <c r="B19" s="16" t="s">
        <v>19</v>
      </c>
      <c r="C19" s="17">
        <f>(D15*75%)</f>
        <v>0</v>
      </c>
      <c r="D19" s="18"/>
      <c r="E19" s="18"/>
      <c r="F19" s="18"/>
      <c r="G19" s="19">
        <f>C19+D19</f>
        <v>0</v>
      </c>
    </row>
    <row r="20" spans="2:10" x14ac:dyDescent="0.25">
      <c r="B20" s="16" t="s">
        <v>20</v>
      </c>
      <c r="C20" s="17"/>
      <c r="D20" s="20"/>
      <c r="E20" s="94">
        <f>(C10*70%)*4%</f>
        <v>74554.728266666658</v>
      </c>
      <c r="F20" s="22"/>
      <c r="G20" s="95">
        <f>+E20</f>
        <v>74554.728266666658</v>
      </c>
    </row>
    <row r="21" spans="2:10" x14ac:dyDescent="0.25">
      <c r="B21" s="16" t="s">
        <v>21</v>
      </c>
      <c r="C21" s="17"/>
      <c r="D21" s="20"/>
      <c r="E21" s="94">
        <f>(C10*70%)*4%</f>
        <v>74554.728266666658</v>
      </c>
      <c r="F21" s="22"/>
      <c r="G21" s="95">
        <f>+E21</f>
        <v>74554.728266666658</v>
      </c>
    </row>
    <row r="22" spans="2:10" x14ac:dyDescent="0.25">
      <c r="B22" s="16" t="s">
        <v>22</v>
      </c>
      <c r="C22" s="17"/>
      <c r="D22" s="20"/>
      <c r="E22" s="24" t="s">
        <v>23</v>
      </c>
      <c r="F22" s="20"/>
      <c r="G22" s="19"/>
    </row>
    <row r="23" spans="2:10" x14ac:dyDescent="0.25">
      <c r="B23" s="20" t="s">
        <v>24</v>
      </c>
      <c r="C23" s="17"/>
      <c r="D23" s="20"/>
      <c r="E23" s="25">
        <v>0</v>
      </c>
      <c r="F23" s="20"/>
      <c r="G23" s="18"/>
    </row>
    <row r="24" spans="2:10" x14ac:dyDescent="0.25">
      <c r="B24" s="20" t="s">
        <v>25</v>
      </c>
      <c r="C24" s="17"/>
      <c r="D24" s="20"/>
      <c r="E24" s="25"/>
      <c r="F24" s="20"/>
      <c r="G24" s="17">
        <f>G10+G11-G20-G21</f>
        <v>2513559.4101333334</v>
      </c>
    </row>
    <row r="25" spans="2:10" ht="15.75" thickBot="1" x14ac:dyDescent="0.3">
      <c r="B25" s="26"/>
      <c r="C25" s="27"/>
      <c r="D25" s="26"/>
      <c r="E25" s="28"/>
      <c r="F25" s="26"/>
      <c r="G25" s="29"/>
    </row>
    <row r="26" spans="2:10" x14ac:dyDescent="0.25">
      <c r="B26" s="30"/>
      <c r="C26" s="31"/>
      <c r="D26" s="100" t="s">
        <v>0</v>
      </c>
      <c r="E26" s="100"/>
      <c r="F26" s="32">
        <v>43983</v>
      </c>
      <c r="G26" s="33"/>
    </row>
    <row r="27" spans="2:10" x14ac:dyDescent="0.25">
      <c r="B27" s="13"/>
      <c r="C27" s="34"/>
      <c r="D27" s="101" t="s">
        <v>26</v>
      </c>
      <c r="E27" s="101"/>
      <c r="F27" s="35">
        <v>44172</v>
      </c>
      <c r="G27" s="36"/>
    </row>
    <row r="28" spans="2:10" x14ac:dyDescent="0.25">
      <c r="B28" s="37"/>
      <c r="C28" s="38"/>
      <c r="D28" s="102" t="s">
        <v>3</v>
      </c>
      <c r="E28" s="102"/>
      <c r="F28" s="39">
        <f>G6</f>
        <v>11411438</v>
      </c>
      <c r="G28" s="36"/>
    </row>
    <row r="29" spans="2:10" ht="15.75" thickBot="1" x14ac:dyDescent="0.3">
      <c r="B29" s="13"/>
      <c r="C29" s="38"/>
      <c r="D29" s="102" t="s">
        <v>4</v>
      </c>
      <c r="E29" s="102"/>
      <c r="F29" s="40"/>
      <c r="G29" s="36"/>
    </row>
    <row r="30" spans="2:10" ht="15.75" thickBot="1" x14ac:dyDescent="0.3">
      <c r="B30" s="13"/>
      <c r="C30" s="38"/>
      <c r="D30" s="96" t="s">
        <v>33</v>
      </c>
      <c r="E30" s="97"/>
      <c r="F30" s="61">
        <f>DAYS360(F26,F27)+1</f>
        <v>187</v>
      </c>
      <c r="G30" s="36"/>
      <c r="I30" s="114" t="s">
        <v>55</v>
      </c>
      <c r="J30" s="115"/>
    </row>
    <row r="31" spans="2:10" ht="15.75" thickBot="1" x14ac:dyDescent="0.3">
      <c r="B31" s="41"/>
      <c r="C31" s="42" t="s">
        <v>6</v>
      </c>
      <c r="D31" s="43" t="s">
        <v>7</v>
      </c>
      <c r="E31" s="44" t="s">
        <v>8</v>
      </c>
      <c r="F31" s="44"/>
      <c r="G31" s="45" t="s">
        <v>9</v>
      </c>
      <c r="I31" s="79" t="s">
        <v>60</v>
      </c>
      <c r="J31" s="80">
        <f>J43</f>
        <v>3951738.7148148147</v>
      </c>
    </row>
    <row r="32" spans="2:10" x14ac:dyDescent="0.25">
      <c r="B32" s="46" t="s">
        <v>27</v>
      </c>
      <c r="C32" s="47">
        <v>0</v>
      </c>
      <c r="D32" s="48"/>
      <c r="E32" s="49"/>
      <c r="F32" s="48"/>
      <c r="G32" s="47">
        <f>C32</f>
        <v>0</v>
      </c>
      <c r="I32" s="81" t="s">
        <v>61</v>
      </c>
      <c r="J32" s="92">
        <f>SUM(J31:J31)</f>
        <v>3951738.7148148147</v>
      </c>
    </row>
    <row r="33" spans="2:10" x14ac:dyDescent="0.25">
      <c r="B33" s="16" t="s">
        <v>28</v>
      </c>
      <c r="C33" s="17">
        <v>0</v>
      </c>
      <c r="D33" s="20"/>
      <c r="E33" s="50"/>
      <c r="F33" s="20"/>
      <c r="G33" s="51">
        <f>C33</f>
        <v>0</v>
      </c>
      <c r="I33" s="81"/>
      <c r="J33" s="82"/>
    </row>
    <row r="34" spans="2:10" ht="15.75" thickBot="1" x14ac:dyDescent="0.3">
      <c r="B34" s="52" t="s">
        <v>29</v>
      </c>
      <c r="C34" s="17">
        <f>C33*F30*0.12/360</f>
        <v>0</v>
      </c>
      <c r="D34" s="20"/>
      <c r="E34" s="50"/>
      <c r="F34" s="20"/>
      <c r="G34" s="53">
        <f>C34</f>
        <v>0</v>
      </c>
      <c r="I34" s="83"/>
      <c r="J34" s="84">
        <f>J32-J33</f>
        <v>3951738.7148148147</v>
      </c>
    </row>
    <row r="35" spans="2:10" ht="15.75" thickBot="1" x14ac:dyDescent="0.3">
      <c r="B35" s="52" t="s">
        <v>30</v>
      </c>
      <c r="C35" s="17">
        <f>F28*360/720</f>
        <v>5705719</v>
      </c>
      <c r="D35" s="20"/>
      <c r="E35" s="50"/>
      <c r="F35" s="20"/>
      <c r="G35" s="53">
        <f>C35</f>
        <v>5705719</v>
      </c>
    </row>
    <row r="36" spans="2:10" x14ac:dyDescent="0.25">
      <c r="B36" s="16" t="s">
        <v>34</v>
      </c>
      <c r="C36" s="62">
        <v>0</v>
      </c>
      <c r="D36" s="20"/>
      <c r="E36" s="17">
        <f>C36</f>
        <v>0</v>
      </c>
      <c r="F36" s="20"/>
      <c r="G36" s="63">
        <f>E36</f>
        <v>0</v>
      </c>
      <c r="I36" s="116" t="s">
        <v>59</v>
      </c>
      <c r="J36" s="117"/>
    </row>
    <row r="37" spans="2:10" x14ac:dyDescent="0.25">
      <c r="B37" s="64" t="s">
        <v>35</v>
      </c>
      <c r="C37" s="65">
        <f>F28*F30/720</f>
        <v>2963804.0361111113</v>
      </c>
      <c r="D37" s="55"/>
      <c r="E37" s="66">
        <f>C37</f>
        <v>2963804.0361111113</v>
      </c>
      <c r="F37" s="55"/>
      <c r="G37" s="53">
        <f>E37</f>
        <v>2963804.0361111113</v>
      </c>
      <c r="I37" s="85">
        <v>20</v>
      </c>
      <c r="J37" s="86">
        <v>360</v>
      </c>
    </row>
    <row r="38" spans="2:10" x14ac:dyDescent="0.25">
      <c r="B38" s="16"/>
      <c r="C38" s="20"/>
      <c r="D38" s="20"/>
      <c r="E38" s="20"/>
      <c r="F38" s="20"/>
      <c r="G38" s="54"/>
      <c r="I38" s="81" t="s">
        <v>56</v>
      </c>
      <c r="J38" s="87">
        <v>187</v>
      </c>
    </row>
    <row r="39" spans="2:10" x14ac:dyDescent="0.25">
      <c r="B39" s="16" t="s">
        <v>31</v>
      </c>
      <c r="C39" s="20"/>
      <c r="D39" s="20"/>
      <c r="E39" s="20"/>
      <c r="F39" s="20"/>
      <c r="G39" s="53">
        <f>G37-G35</f>
        <v>-2741914.9638888887</v>
      </c>
      <c r="I39" s="88" t="s">
        <v>57</v>
      </c>
      <c r="J39" s="89">
        <f>I37*J38/J37</f>
        <v>10.388888888888889</v>
      </c>
    </row>
    <row r="40" spans="2:10" x14ac:dyDescent="0.25">
      <c r="B40" s="16" t="s">
        <v>44</v>
      </c>
      <c r="C40" s="66"/>
      <c r="D40" s="20"/>
      <c r="E40" s="20"/>
      <c r="F40" s="20"/>
      <c r="G40" s="93">
        <f>J43</f>
        <v>3951738.7148148147</v>
      </c>
      <c r="I40" s="90">
        <f>(F28/30)*J40</f>
        <v>7607625.333333333</v>
      </c>
      <c r="J40" s="87">
        <v>20</v>
      </c>
    </row>
    <row r="41" spans="2:10" x14ac:dyDescent="0.25">
      <c r="B41" s="16"/>
      <c r="C41" s="20"/>
      <c r="D41" s="20"/>
      <c r="E41" s="20"/>
      <c r="F41" s="20"/>
      <c r="G41" s="54"/>
      <c r="I41" s="81" t="s">
        <v>58</v>
      </c>
      <c r="J41" s="80">
        <f>J39</f>
        <v>10.388888888888889</v>
      </c>
    </row>
    <row r="42" spans="2:10" x14ac:dyDescent="0.25">
      <c r="B42" s="98" t="s">
        <v>32</v>
      </c>
      <c r="C42" s="99"/>
      <c r="D42" s="56"/>
      <c r="E42" s="56"/>
      <c r="F42" s="20"/>
      <c r="G42" s="53">
        <f>G40+(G39)+G24</f>
        <v>3723383.1610592594</v>
      </c>
      <c r="I42" s="81"/>
      <c r="J42" s="87"/>
    </row>
    <row r="43" spans="2:10" ht="15.75" thickBot="1" x14ac:dyDescent="0.3">
      <c r="B43" s="57"/>
      <c r="C43" s="56"/>
      <c r="D43" s="56"/>
      <c r="E43" s="56"/>
      <c r="F43" s="20"/>
      <c r="G43" s="54"/>
      <c r="I43" s="83" t="s">
        <v>57</v>
      </c>
      <c r="J43" s="91">
        <f>I40*J41/J40</f>
        <v>3951738.7148148147</v>
      </c>
    </row>
    <row r="44" spans="2:10" ht="15.75" thickBot="1" x14ac:dyDescent="0.3">
      <c r="B44" s="58"/>
      <c r="C44" s="59"/>
      <c r="D44" s="59"/>
      <c r="E44" s="59"/>
      <c r="F44" s="59"/>
      <c r="G44" s="60"/>
    </row>
  </sheetData>
  <mergeCells count="14">
    <mergeCell ref="I30:J30"/>
    <mergeCell ref="I36:J36"/>
    <mergeCell ref="D26:E26"/>
    <mergeCell ref="D27:E27"/>
    <mergeCell ref="D28:E28"/>
    <mergeCell ref="D29:E29"/>
    <mergeCell ref="D30:E30"/>
    <mergeCell ref="B42:C42"/>
    <mergeCell ref="B3:G3"/>
    <mergeCell ref="E4:F4"/>
    <mergeCell ref="E5:F5"/>
    <mergeCell ref="E6:F6"/>
    <mergeCell ref="E7:F7"/>
    <mergeCell ref="E8:F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LIQUIDACIÓN CASO 1</vt:lpstr>
      <vt:lpstr>LIQUIDACIÓN CASO 2</vt:lpstr>
      <vt:lpstr>LIQUIDACIÓN CASO 3.</vt:lpstr>
      <vt:lpstr>LIQUIDACIÓN CASO 4</vt:lpstr>
      <vt:lpstr>LIQUIDACIÓN CASO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Viviana Aparicio</cp:lastModifiedBy>
  <dcterms:created xsi:type="dcterms:W3CDTF">2020-11-19T03:37:22Z</dcterms:created>
  <dcterms:modified xsi:type="dcterms:W3CDTF">2020-12-10T16:20:57Z</dcterms:modified>
</cp:coreProperties>
</file>